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llie documents" sheetId="1" r:id="rId4"/>
    <sheet state="visible" name="Callie actions" sheetId="2" r:id="rId5"/>
    <sheet state="visible" name="Danny documents" sheetId="3" r:id="rId6"/>
    <sheet state="visible" name="Danny actions" sheetId="4" r:id="rId7"/>
    <sheet state="visible" name="Ingemar documents" sheetId="5" r:id="rId8"/>
    <sheet state="visible" name="Ingemar actions" sheetId="6" r:id="rId9"/>
    <sheet state="visible" name="Joel documents" sheetId="7" r:id="rId10"/>
    <sheet state="visible" name="Joel actions" sheetId="8" r:id="rId11"/>
    <sheet state="visible" name="Juan documents" sheetId="9" r:id="rId12"/>
    <sheet state="visible" name="Juan actions" sheetId="10" r:id="rId13"/>
    <sheet state="visible" name="Kalyan documents" sheetId="11" r:id="rId14"/>
    <sheet state="visible" name="Kalyan actions" sheetId="12" r:id="rId15"/>
    <sheet state="visible" name="Marcus documents" sheetId="13" r:id="rId16"/>
    <sheet state="visible" name="Marcus actions" sheetId="14" r:id="rId17"/>
    <sheet state="visible" name="Michal documents" sheetId="15" r:id="rId18"/>
    <sheet state="visible" name="Michal actions" sheetId="16" r:id="rId19"/>
    <sheet state="visible" name="Paula documents" sheetId="17" r:id="rId20"/>
    <sheet state="visible" name="Paula actions" sheetId="18" r:id="rId21"/>
    <sheet state="visible" name="Stef documents" sheetId="19" r:id="rId22"/>
    <sheet state="visible" name="Stef actions" sheetId="20" r:id="rId23"/>
    <sheet state="visible" name="_document type values" sheetId="21" r:id="rId24"/>
  </sheets>
  <definedNames>
    <definedName hidden="1" localSheetId="0" name="_xlnm._FilterDatabase">'Callie documents'!$A$1:$N$119</definedName>
    <definedName hidden="1" localSheetId="2" name="_xlnm._FilterDatabase">'Danny documents'!$A$1:$O$113</definedName>
    <definedName hidden="1" localSheetId="4" name="_xlnm._FilterDatabase">'Ingemar documents'!$A$1:$N$127</definedName>
    <definedName hidden="1" localSheetId="6" name="_xlnm._FilterDatabase">'Joel documents'!$A$1:$N$125</definedName>
    <definedName hidden="1" localSheetId="10" name="_xlnm._FilterDatabase">'Kalyan documents'!$A$1:$M$111</definedName>
    <definedName hidden="1" localSheetId="12" name="_xlnm._FilterDatabase">'Marcus documents'!$A$1:$N$120</definedName>
    <definedName hidden="1" localSheetId="14" name="_xlnm._FilterDatabase">'Michal documents'!$A$1:$O$130</definedName>
    <definedName hidden="1" localSheetId="16" name="_xlnm._FilterDatabase">'Paula documents'!$A$1:$O$115</definedName>
    <definedName hidden="1" localSheetId="18" name="_xlnm._FilterDatabase">'Stef documents'!$A$1:$O$117</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3">
      <text>
        <t xml:space="preserve">@marcus@climatepolicyradar.org this is breaking our data import as there's no language code in the language table for Dari. As we won't be able to parse Dari any time soon, I've deleted the title for now so it won't be imported for alpha.
I'm sure we can find a way to get it in at a later date
	-Kalyan Dutia</t>
      </text>
    </comment>
  </commentList>
</comments>
</file>

<file path=xl/sharedStrings.xml><?xml version="1.0" encoding="utf-8"?>
<sst xmlns="http://schemas.openxmlformats.org/spreadsheetml/2006/main" count="16623" uniqueCount="6088">
  <si>
    <t>Id</t>
  </si>
  <si>
    <t>Title</t>
  </si>
  <si>
    <t>_translated_title</t>
  </si>
  <si>
    <t>Geography</t>
  </si>
  <si>
    <t>Geography ISO</t>
  </si>
  <si>
    <t>Document Type</t>
  </si>
  <si>
    <t>Inherited Action type</t>
  </si>
  <si>
    <t>Year</t>
  </si>
  <si>
    <t>Language</t>
  </si>
  <si>
    <t>Documents</t>
  </si>
  <si>
    <t>_url</t>
  </si>
  <si>
    <t>_name</t>
  </si>
  <si>
    <t>Other Languages</t>
  </si>
  <si>
    <t>_content_type</t>
  </si>
  <si>
    <t>INSTRUKSI PRESIDEN REPUBLIK INDONESIA NOMOR 6 TAHUN 2013 TENTANG PENUNDAAN PEMBERIAN IZIN BARU DAN PENYEMPURNAAN TATA KELOLA HUTAN ALAM PRIMER DAN LAHAN GAMBUT</t>
  </si>
  <si>
    <t>Presidential of the Republic of Indonesia Instruction Number 6 Year 2013 on Suspension of New Licenses and Improving Forest Governance of Primary Forest and Peatland</t>
  </si>
  <si>
    <t>Indonesia</t>
  </si>
  <si>
    <t>IDN</t>
  </si>
  <si>
    <t>Decree</t>
  </si>
  <si>
    <t>Indonesian</t>
  </si>
  <si>
    <t>https://climate-laws.org/rails/active_storage/blobs/eyJfcmFpbHMiOnsibWVzc2FnZSI6IkJBaHBBaUVHIiwiZXhwIjpudWxsLCJwdXIiOiJibG9iX2lkIn19--2edc173ca6e688a1d121c90f6282721aca9b0ca7/f|id</t>
  </si>
  <si>
    <t>https://climate-laws.org/rails/active_storage/blobs/eyJfcmFpbHMiOnsibWVzc2FnZSI6IkJBaHBBaUVHIiwiZXhwIjpudWxsLCJwdXIiOiJibG9iX2lkIn19--2edc173ca6e688a1d121c90f6282721aca9b0ca7/f</t>
  </si>
  <si>
    <t>Callie</t>
  </si>
  <si>
    <t>application/pdf</t>
  </si>
  <si>
    <t>English</t>
  </si>
  <si>
    <t>https://climate-laws.org/rails/active_storage/blobs/eyJfcmFpbHMiOnsibWVzc2FnZSI6IkJBaHBBaUlHIiwiZXhwIjpudWxsLCJwdXIiOiJibG9iX2lkIn19--8c435aa888628a4bbbef25307cab8c50b5be954a/f|en</t>
  </si>
  <si>
    <t>https://climate-laws.org/rails/active_storage/blobs/eyJfcmFpbHMiOnsibWVzc2FnZSI6IkJBaHBBaUlHIiwiZXhwIjpudWxsLCJwdXIiOiJibG9iX2lkIn19--8c435aa888628a4bbbef25307cab8c50b5be954a/f</t>
  </si>
  <si>
    <t>https://storage.googleapis.com/cclow-staging/6nxfhn9dfeqs7xg3nt1ox4inilxk?GoogleAccessId=laws-and-pathways-staging%40soy-truth-247515.iam.gserviceaccount.com&amp;Expires=1624617321&amp;Signature=VJvJDwBkdiU2CsJO3c7L0e9R7SnCNiDLRLYDJyac1XTIDeOE2wVrKydK6XRa8Gf8ADf4rYkJqn3NrSmfIeiNF2yRR%2FXWUVRgUcLtPugpoVLAHHJ9u17g7qiuux1SlWVKgKPJIosOML2KnS9yN5a3K2azeGPSZvckE1fIG7%2BQfhYfwm2T09J%2FyiRJE%2BSTITSnKrvhztOyzGefIoTcjOHg%2FIl%2FuaPz7%2F3Z6%2B1B1kPjjTHDCv4um10KUxxTCpfwOySwMExRm61N2ksIwfP%2BNr7vy12%2FoQ7TkiHsG%2FARlIClEM0dwk%2BNTu%2BameDkCI9dQjxB3AAmxjwTyzyBfJDeHwrcIw%3D%3D&amp;response-content-disposition=inline%3B+filename%3D%22f%22%3B+filename%2A%3DUTF-8%27%27f&amp;response-content-type=application%2Fpdf|en</t>
  </si>
  <si>
    <t>https://storage.googleapis.com/cclow-staging/6nxfhn9dfeqs7xg3nt1ox4inilxk?GoogleAccessId=laws-and-pathways-staging%40soy-truth-247515.iam.gserviceaccount.com&amp;Expires=1624617321&amp;Signature=VJvJDwBkdiU2CsJO3c7L0e9R7SnCNiDLRLYDJyac1XTIDeOE2wVrKydK6XRa8Gf8ADf4rYkJqn3NrSmfIeiNF2yRR%2FXWUVRgUcLtPugpoVLAHHJ9u17g7qiuux1SlWVKgKPJIosOML2KnS9yN5a3K2azeGPSZvckE1fIG7%2BQfhYfwm2T09J%2FyiRJE%2BSTITSnKrvhztOyzGefIoTcjOHg%2FIl%2FuaPz7%2F3Z6%2B1B1kPjjTHDCv4um10KUxxTCpfwOySwMExRm61N2ksIwfP%2BNr7vy12%2FoQ7TkiHsG%2FARlIClEM0dwk%2BNTu%2BameDkCI9dQjxB3AAmxjwTyzyBfJDeHwrcIw%3D%3D&amp;response-content-disposition=inline%3B+filename%3D%22f%22%3B+filename%2A%3DUTF-8%27%27f&amp;response-content-type=application%2Fpdf</t>
  </si>
  <si>
    <t>application/xml; charset=UTF-8</t>
  </si>
  <si>
    <t>INSTRUKSI PRESIDEN REPUBLIK INDONESIA NOMOR 5 TAHUN 2019TENTANG PENGHENTIAN PEMBERIAN IZIN BARU DAN PENYEMPURNAAN TATA KELOLA HUTAN ALAM PRIMER DAN LAHAN GAMBUT</t>
  </si>
  <si>
    <t>https://climate-laws.org/rails/active_storage/blobs/eyJfcmFpbHMiOnsibWVzc2FnZSI6IkJBaHBBaDhPIiwiZXhwIjpudWxsLCJwdXIiOiJibG9iX2lkIn19--b416447775144e2484a1d7f04e95f21ec6de92bb/Indonesia%20InPres%205-2019.pdf|id</t>
  </si>
  <si>
    <t>https://climate-laws.org/rails/active_storage/blobs/eyJfcmFpbHMiOnsibWVzc2FnZSI6IkJBaHBBaDhPIiwiZXhwIjpudWxsLCJwdXIiOiJibG9iX2lkIn19--b416447775144e2484a1d7f04e95f21ec6de92bb/Indonesia%20InPres%205-2019.pdf</t>
  </si>
  <si>
    <t xml:space="preserve">Peraturan Menteri Energi Dan Sumber Daya Mineral Republik Indonesia Nomor 12 Tahun 2017 Tentang Pemanfaatan Sumber Energi Terbarukan Untuk Penyediaan Tenaga Listrik </t>
  </si>
  <si>
    <t>Regulation</t>
  </si>
  <si>
    <t>https://climate-laws.org/rails/active_storage/blobs/eyJfcmFpbHMiOnsibWVzc2FnZSI6IkJBaHBBcVlKIiwiZXhwIjpudWxsLCJwdXIiOiJibG9iX2lkIn19--f78211846fbe5abf1f736bcd4c5d442504b678c7/f|</t>
  </si>
  <si>
    <t>https://climate-laws.org/rails/active_storage/blobs/eyJfcmFpbHMiOnsibWVzc2FnZSI6IkJBaHBBcVlKIiwiZXhwIjpudWxsLCJwdXIiOiJibG9iX2lkIn19--f78211846fbe5abf1f736bcd4c5d442504b678c7/f</t>
  </si>
  <si>
    <t>unknown</t>
  </si>
  <si>
    <t>https://climate-laws.org/rails/active_storage/blobs/eyJfcmFpbHMiOnsibWVzc2FnZSI6IkJBaHBBcDBNIiwiZXhwIjpudWxsLCJwdXIiOiJibG9iX2lkIn19--02da595824a5e8cab34c045dfacb2fd61694f2e6/2017%20MOEMR%2012%20of%202017_Renewable%20Energy%20Sources%20for%20Electricity%20Supply.pdf|id</t>
  </si>
  <si>
    <t>https://climate-laws.org/rails/active_storage/blobs/eyJfcmFpbHMiOnsibWVzc2FnZSI6IkJBaHBBcDBNIiwiZXhwIjpudWxsLCJwdXIiOiJibG9iX2lkIn19--02da595824a5e8cab34c045dfacb2fd61694f2e6/2017%20MOEMR%2012%20of%202017_Renewable%20Energy%20Sources%20for%20Electricity%20Supply.pdf</t>
  </si>
  <si>
    <t>UNDANG-UNDANG REPUBLIK INDONESIA NOMOR 31 TAHUN 2009 TENTANG METEOROLOGI, KLIMATOLOGI, DAN GEOFISIKA</t>
  </si>
  <si>
    <t>Law</t>
  </si>
  <si>
    <t>https://climate-laws.org/rails/active_storage/blobs/eyJfcmFpbHMiOnsibWVzc2FnZSI6IkJBaHBBcGdNIiwiZXhwIjpudWxsLCJwdXIiOiJibG9iX2lkIn19--22b9b9cd9b24af29b845def0155eb89abca719c4/2009%20UU%20No.%2031%20of%202009%20Meterology%20Climatology%20and%20Geophysics.pdf|id</t>
  </si>
  <si>
    <t>https://climate-laws.org/rails/active_storage/blobs/eyJfcmFpbHMiOnsibWVzc2FnZSI6IkJBaHBBcGdNIiwiZXhwIjpudWxsLCJwdXIiOiJibG9iX2lkIn19--22b9b9cd9b24af29b845def0155eb89abca719c4/2009%20UU%20No.%2031%20of%202009%20Meterology%20Climatology%20and%20Geophysics.pdf</t>
  </si>
  <si>
    <t>Act 31 of 2009 About Meteorology, Climatology, and Geophysics</t>
  </si>
  <si>
    <t>Act</t>
  </si>
  <si>
    <t>https://climate-laws.org/rails/active_storage/blobs/eyJfcmFpbHMiOnsibWVzc2FnZSI6IkJBaHBBcGtNIiwiZXhwIjpudWxsLCJwdXIiOiJibG9iX2lkIn19--01b23da345beb2a7d2d8e65f98fb59e167a1d6da/2009%20Act%2031%20of%202009_Meterology%20and%20Climate%20Law.docx|en</t>
  </si>
  <si>
    <t>https://climate-laws.org/rails/active_storage/blobs/eyJfcmFpbHMiOnsibWVzc2FnZSI6IkJBaHBBcGtNIiwiZXhwIjpudWxsLCJwdXIiOiJibG9iX2lkIn19--01b23da345beb2a7d2d8e65f98fb59e167a1d6da/2009%20Act%2031%20of%202009_Meterology%20and%20Climate%20Law.docx</t>
  </si>
  <si>
    <t>application/vnd.openxmlformats-officedocument.wordprocessingml.document</t>
  </si>
  <si>
    <t>Government Regulation of the Republic of Indonesia Number 79 of 2014 on National Energy Policy</t>
  </si>
  <si>
    <t>https://climate-laws.org/rails/active_storage/blobs/eyJfcmFpbHMiOnsibWVzc2FnZSI6IkJBaHBBcUFNIiwiZXhwIjpudWxsLCJwdXIiOiJibG9iX2lkIn19--915154b97b127e2e63d6ffae0386002015da9166/2014%20PP%20No%2079%20of%202014%20National%20Energy%20Policy_EN.pdf|en</t>
  </si>
  <si>
    <t>https://climate-laws.org/rails/active_storage/blobs/eyJfcmFpbHMiOnsibWVzc2FnZSI6IkJBaHBBcUFNIiwiZXhwIjpudWxsLCJwdXIiOiJibG9iX2lkIn19--915154b97b127e2e63d6ffae0386002015da9166/2014%20PP%20No%2079%20of%202014%20National%20Energy%20Policy_EN.pdf</t>
  </si>
  <si>
    <t>PERATURAN PEMERINTAH REPUBLIK INDONESIA NOMOR 79 TAHUN 2014 TENTANG KEBIJAKAN ENERGI NASIONAL</t>
  </si>
  <si>
    <t>https://climate-laws.org/rails/active_storage/blobs/eyJfcmFpbHMiOnsibWVzc2FnZSI6IkJBaHBBcUVNIiwiZXhwIjpudWxsLCJwdXIiOiJibG9iX2lkIn19--50957a9fe0c1d2302c65581e3f8c77e8024daa9b/2014%20PP%20No%2079%20of%202014%20National%20Energy%20Policy.pdf|id</t>
  </si>
  <si>
    <t>https://climate-laws.org/rails/active_storage/blobs/eyJfcmFpbHMiOnsibWVzc2FnZSI6IkJBaHBBcUVNIiwiZXhwIjpudWxsLCJwdXIiOiJibG9iX2lkIn19--50957a9fe0c1d2302c65581e3f8c77e8024daa9b/2014%20PP%20No%2079%20of%202014%20National%20Energy%20Policy.pdf</t>
  </si>
  <si>
    <t>PERATURAN MENTERI KEHUTANAN REPUBLIK INDONESIA NOMOR : P. 36/Menhut-II/2009 TENTANG TATA CARA PERIZINAN USAHA PEMANFAATAN PENYERAPAN DAN/ATAU PENYIMPANAN KARBON PADA HUTAN PRODUKSI DAN HUTAN LINDUNG</t>
  </si>
  <si>
    <t>https://climate-laws.org/rails/active_storage/blobs/eyJfcmFpbHMiOnsibWVzc2FnZSI6IkJBaHBBcVVNIiwiZXhwIjpudWxsLCJwdXIiOiJibG9iX2lkIn19--599940d02177643b716d92efed4cac712c803d26/2009%20MOF%20Reg%2036%20of%202009%20Permitting%20for%20Using%20Carbon%20Sinks%20and%20Reservoirs%20in%20Forests.pdf|id</t>
  </si>
  <si>
    <t>https://climate-laws.org/rails/active_storage/blobs/eyJfcmFpbHMiOnsibWVzc2FnZSI6IkJBaHBBcVVNIiwiZXhwIjpudWxsLCJwdXIiOiJibG9iX2lkIn19--599940d02177643b716d92efed4cac712c803d26/2009%20MOF%20Reg%2036%20of%202009%20Permitting%20for%20Using%20Carbon%20Sinks%20and%20Reservoirs%20in%20Forests.pdf</t>
  </si>
  <si>
    <t>PERATURAN MENTERI KEHUTANAN REPUBLIK INDONESIA NOMOR : P.11/Menhut-II/2013 TENTANG PERUBAHAN ATAS PERATURAN MENTERI KEHUTANAN NOMOR P.36/MENHUT-II/2009 TENTANG TATA CARA PERIZINAN USAHA PEMANFAATAN PENYERAPAN DAN /ATAU PENYIMPANAN KARBON PADA HUTAN PRODUKSI DAN HUTAN LINDUNG</t>
  </si>
  <si>
    <t>https://climate-laws.org/rails/active_storage/blobs/eyJfcmFpbHMiOnsibWVzc2FnZSI6IkJBaHBBcVlNIiwiZXhwIjpudWxsLCJwdXIiOiJibG9iX2lkIn19--11c816f5112de05403904b8a66e47b7e6398bd0a/2013%20MOF%20Reg%2011%20of%202013_Amending%2036%20Menhut%20II%20of%202009%20on%20Procedures%20for%20Licensing%20Activities%20for%20Absorbing%20and%20Restoring%20Carbon%20in%20Forests.pdf|id</t>
  </si>
  <si>
    <t>https://climate-laws.org/rails/active_storage/blobs/eyJfcmFpbHMiOnsibWVzc2FnZSI6IkJBaHBBcVlNIiwiZXhwIjpudWxsLCJwdXIiOiJibG9iX2lkIn19--11c816f5112de05403904b8a66e47b7e6398bd0a/2013%20MOF%20Reg%2011%20of%202013_Amending%2036%20Menhut%20II%20of%202009%20on%20Procedures%20for%20Licensing%20Activities%20for%20Absorbing%20and%20Restoring%20Carbon%20in%20Forests.pdf</t>
  </si>
  <si>
    <t>PERATURAN PEMERINTAH REPUBLIK INDONESIA NOMOR 57 TAHUN 2016 TENTANG PERUBAHAN ATAS PERATURAN PEMERINTAH NOMOR 71 TAHUN 2014 TENTANG PERLINDUNGAN DAN PENGELOLAAN EKOSISTEM GAMBUT</t>
  </si>
  <si>
    <t>https://climate-laws.org/rails/active_storage/blobs/eyJfcmFpbHMiOnsibWVzc2FnZSI6IkJBaHBBaUFPIiwiZXhwIjpudWxsLCJwdXIiOiJibG9iX2lkIn19--22b157433d8ed537b49102923fd06d7962c8af6b/PP_NO_57_2016.pdf|id</t>
  </si>
  <si>
    <t>https://climate-laws.org/rails/active_storage/blobs/eyJfcmFpbHMiOnsibWVzc2FnZSI6IkJBaHBBaUFPIiwiZXhwIjpudWxsLCJwdXIiOiJibG9iX2lkIn19--22b157433d8ed537b49102923fd06d7962c8af6b/PP_NO_57_2016.pdf</t>
  </si>
  <si>
    <t>PERATURAN PEMERINTAH REPUBLIK INDONESIA NO MOR 71 TAHUN 2014 TENTANG PERLINDUNGAN DAN PENGELOLAAN EKOSISTEM GAMBUT</t>
  </si>
  <si>
    <t>http://extwprlegs1.fao.org/docs/pdf/ins174375.pdf|</t>
  </si>
  <si>
    <t>http://extwprlegs1.fao.org/docs/pdf/ins174375.pdf</t>
  </si>
  <si>
    <t>Finance Act, 1992</t>
  </si>
  <si>
    <t>Ireland</t>
  </si>
  <si>
    <t>IRL</t>
  </si>
  <si>
    <t>https://climate-laws.org/rails/active_storage/blobs/eyJfcmFpbHMiOnsibWVzc2FnZSI6IkJBaHBBcmdKIiwiZXhwIjpudWxsLCJwdXIiOiJibG9iX2lkIn19--f1ce557eda2800a1938586774476d0d66fa62738/f|</t>
  </si>
  <si>
    <t>https://climate-laws.org/rails/active_storage/blobs/eyJfcmFpbHMiOnsibWVzc2FnZSI6IkJBaHBBcmdKIiwiZXhwIjpudWxsLCJwdXIiOiJibG9iX2lkIn19--f1ce557eda2800a1938586774476d0d66fa62738/f</t>
  </si>
  <si>
    <t>Finance Act 2013</t>
  </si>
  <si>
    <t>https://climate-laws.org/rails/active_storage/blobs/eyJfcmFpbHMiOnsibWVzc2FnZSI6IkJBaHBBcmtKIiwiZXhwIjpudWxsLCJwdXIiOiJibG9iX2lkIn19--585ddf140054ff02b151a2d1926d42f681c63926/f|</t>
  </si>
  <si>
    <t>https://climate-laws.org/rails/active_storage/blobs/eyJfcmFpbHMiOnsibWVzc2FnZSI6IkJBaHBBcmtKIiwiZXhwIjpudWxsLCJwdXIiOiJibG9iX2lkIn19--585ddf140054ff02b151a2d1926d42f681c63926/f</t>
  </si>
  <si>
    <t>Motor Vehicles (Duties and Licences) Act, 2001</t>
  </si>
  <si>
    <t>https://climate-laws.org/rails/active_storage/blobs/eyJfcmFpbHMiOnsibWVzc2FnZSI6IkJBaHBBcThKIiwiZXhwIjpudWxsLCJwdXIiOiJibG9iX2lkIn19--9485b8d424b12937a352f5e578fe495b2d6677c5/f|</t>
  </si>
  <si>
    <t>https://climate-laws.org/rails/active_storage/blobs/eyJfcmFpbHMiOnsibWVzc2FnZSI6IkJBaHBBcThKIiwiZXhwIjpudWxsLCJwdXIiOiJibG9iX2lkIn19--9485b8d424b12937a352f5e578fe495b2d6677c5/f</t>
  </si>
  <si>
    <t>Motor Vehicles (Duties and Licences) Act 2013</t>
  </si>
  <si>
    <t>https://climate-laws.org/rails/active_storage/blobs/eyJfcmFpbHMiOnsibWVzc2FnZSI6IkJBaHBBckFKIiwiZXhwIjpudWxsLCJwdXIiOiJibG9iX2lkIn19--80abb78ec26543cc701d9b3fa937ebac2ae01102/f|</t>
  </si>
  <si>
    <t>https://climate-laws.org/rails/active_storage/blobs/eyJfcmFpbHMiOnsibWVzc2FnZSI6IkJBaHBBckFKIiwiZXhwIjpudWxsLCJwdXIiOiJibG9iX2lkIn19--80abb78ec26543cc701d9b3fa937ebac2ae01102/f</t>
  </si>
  <si>
    <t>Climate Action and Low Carbon Development Act 2015</t>
  </si>
  <si>
    <t>https://climate-laws.org/rails/active_storage/blobs/eyJfcmFpbHMiOnsibWVzc2FnZSI6IkJBaHBBbklJIiwiZXhwIjpudWxsLCJwdXIiOiJibG9iX2lkIn19--f3e6a5e3d4af92a4808ca26dc589af91a7035913/f|en</t>
  </si>
  <si>
    <t>https://climate-laws.org/rails/active_storage/blobs/eyJfcmFpbHMiOnsibWVzc2FnZSI6IkJBaHBBbklJIiwiZXhwIjpudWxsLCJwdXIiOiJibG9iX2lkIn19--f3e6a5e3d4af92a4808ca26dc589af91a7035913/f</t>
  </si>
  <si>
    <t>Climate Action and Low Carbon Development (Amendment) Bill 2021</t>
  </si>
  <si>
    <t>Bill</t>
  </si>
  <si>
    <t>https://data.oireachtas.ie/ie/oireachtas/bill/2021/39/eng/ver_b/b39b21d.pdf|en</t>
  </si>
  <si>
    <t>https://data.oireachtas.ie/ie/oireachtas/bill/2021/39/eng/ver_b/b39b21d.pdf</t>
  </si>
  <si>
    <t>Government approves landmark Climate Bill putting Ireland on the path to net-zero emissions by 2050</t>
  </si>
  <si>
    <t>Press release</t>
  </si>
  <si>
    <t>https://www.gov.ie/en/press-release/22e97-government-approves-landmark-climate-bill-putting-ireland-on-the-path-to-net-zero-emissions-by-2050/|en</t>
  </si>
  <si>
    <t>https://www.gov.ie/en/press-release/22e97-government-approves-landmark-climate-bill-putting-ireland-on-the-path-to-net-zero-emissions-by-2050/</t>
  </si>
  <si>
    <t>text/html; charset=utf-8</t>
  </si>
  <si>
    <t>Petroleum and Other Minerals Development (Prohibition of Onshore Hydraulic Fracturing) Act 2017</t>
  </si>
  <si>
    <t>https://data.oireachtas.ie/ie/oireachtas/act/2017/15/eng/enacted/a1517.pdf|en</t>
  </si>
  <si>
    <t>https://data.oireachtas.ie/ie/oireachtas/act/2017/15/eng/enacted/a1517.pdf</t>
  </si>
  <si>
    <t>Prohibition of Exploration and Extraction of Onshore Petroleum Bill 2016</t>
  </si>
  <si>
    <t>https://data.oireachtas.ie/ie/oireachtas/bill/2016/37/eng/memo/b3716d-memo.pdf|en</t>
  </si>
  <si>
    <t>https://data.oireachtas.ie/ie/oireachtas/bill/2016/37/eng/memo/b3716d-memo.pdf</t>
  </si>
  <si>
    <t>פרוטוקול מס' 463</t>
  </si>
  <si>
    <t>Israel</t>
  </si>
  <si>
    <t>ISR</t>
  </si>
  <si>
    <t>Protocol</t>
  </si>
  <si>
    <t>Hebrew</t>
  </si>
  <si>
    <t>https://climate-laws.org/rails/active_storage/blobs/eyJfcmFpbHMiOnsibWVzc2FnZSI6IkJBaHBBcFlIIiwiZXhwIjpudWxsLCJwdXIiOiJibG9iX2lkIn19--8aecd62a71720e9989d4e5d2e6b67241ef6d32ee/f|</t>
  </si>
  <si>
    <t>https://climate-laws.org/rails/active_storage/blobs/eyJfcmFpbHMiOnsibWVzc2FnZSI6IkJBaHBBcFlIIiwiZXhwIjpudWxsLCJwdXIiOiJibG9iX2lkIn19--8aecd62a71720e9989d4e5d2e6b67241ef6d32ee/f</t>
  </si>
  <si>
    <t>The Energy Sources Regulations (Minimal Energetic Efficiency for Indoor Light Bulb) 5771 - 2011*</t>
  </si>
  <si>
    <t>https://climate-laws.org/rails/active_storage/blobs/eyJfcmFpbHMiOnsibWVzc2FnZSI6IkJBaHBBcGNIIiwiZXhwIjpudWxsLCJwdXIiOiJibG9iX2lkIn19--0938ffa12f0b0907029e75d8c48cd84f39835a3d/f|</t>
  </si>
  <si>
    <t>https://climate-laws.org/rails/active_storage/blobs/eyJfcmFpbHMiOnsibWVzc2FnZSI6IkJBaHBBcGNIIiwiZXhwIjpudWxsLCJwdXIiOiJibG9iX2lkIn19--0938ffa12f0b0907029e75d8c48cd84f39835a3d/f</t>
  </si>
  <si>
    <t>תקנות מקורות אנרגיה ) התייעלות אנרגטית ומידע על צריכת אנרגיה של מכשירי קירור (, תשס"ד-2004</t>
  </si>
  <si>
    <t>Energy Sources Regulations (Energy Efficiency and Information on Energy Consumption of Refrigeration Equipment), 2004.</t>
  </si>
  <si>
    <t>https://climate-laws.org/rails/active_storage/blobs/eyJfcmFpbHMiOnsibWVzc2FnZSI6IkJBaHBBa0lIIiwiZXhwIjpudWxsLCJwdXIiOiJibG9iX2lkIn19--aea931e1ef6c897ecefb949d76bbc1b04c49a7b1/f|</t>
  </si>
  <si>
    <t>https://climate-laws.org/rails/active_storage/blobs/eyJfcmFpbHMiOnsibWVzc2FnZSI6IkJBaHBBa0lIIiwiZXhwIjpudWxsLCJwdXIiOiJibG9iX2lkIn19--aea931e1ef6c897ecefb949d76bbc1b04c49a7b1/f</t>
  </si>
  <si>
    <t>Energy Resources Regulations (Energy Efficiency and Energy Information of Cooling Appliances) 5774 - 2004</t>
  </si>
  <si>
    <t>https://climate-laws.org/rails/active_storage/blobs/eyJfcmFpbHMiOnsibWVzc2FnZSI6IkJBaHBBa01IIiwiZXhwIjpudWxsLCJwdXIiOiJibG9iX2lkIn19--380d6419d25123f3f72c1d6fdd39e811c603c059/f|</t>
  </si>
  <si>
    <t>https://climate-laws.org/rails/active_storage/blobs/eyJfcmFpbHMiOnsibWVzc2FnZSI6IkJBaHBBa01IIiwiZXhwIjpudWxsLCJwdXIiOiJibG9iX2lkIn19--380d6419d25123f3f72c1d6fdd39e811c603c059/f</t>
  </si>
  <si>
    <t>תקנות מקורות אנרגיה (נצילות אנרגיה של מנועי השראה חשמליים), תשס"ד-2004</t>
  </si>
  <si>
    <t>Energy Sources Regulations (Energy Efficiency of Electric Induction Engines), 2004</t>
  </si>
  <si>
    <t>https://climate-laws.org/rails/active_storage/blobs/eyJfcmFpbHMiOnsibWVzc2FnZSI6IkJBaHBBdmtHIiwiZXhwIjpudWxsLCJwdXIiOiJibG9iX2lkIn19--947433082dd396fab7a833d2638c6de9bc3c4595/f|</t>
  </si>
  <si>
    <t>https://climate-laws.org/rails/active_storage/blobs/eyJfcmFpbHMiOnsibWVzc2FnZSI6IkJBaHBBdmtHIiwiZXhwIjpudWxsLCJwdXIiOiJibG9iX2lkIn19--947433082dd396fab7a833d2638c6de9bc3c4595/f</t>
  </si>
  <si>
    <t>Energy Resources Regulations (Energy Efficiency of Electrical Induction Motors) 5764 - 2004</t>
  </si>
  <si>
    <t>https://climate-laws.org/rails/active_storage/blobs/eyJfcmFpbHMiOnsibWVzc2FnZSI6IkJBaHBBdm9HIiwiZXhwIjpudWxsLCJwdXIiOiJibG9iX2lkIn19--a02711ddef3cd8c93aacc504e8d07a2d60e64e9d/f|</t>
  </si>
  <si>
    <t>https://climate-laws.org/rails/active_storage/blobs/eyJfcmFpbHMiOnsibWVzc2FnZSI6IkJBaHBBdm9HIiwiZXhwIjpudWxsLCJwdXIiOiJibG9iX2lkIn19--a02711ddef3cd8c93aacc504e8d07a2d60e64e9d/f</t>
  </si>
  <si>
    <t>תקנות מקורות אנרגי(ביצוע סקר לאיתור פוטנציאל לשימור אנרגיה), תשנ"ג-1993</t>
  </si>
  <si>
    <t>Energy Sources Regulations (conducting a survey to identify potential for energy conservation), 1993</t>
  </si>
  <si>
    <t>https://climate-laws.org/rails/active_storage/blobs/eyJfcmFpbHMiOnsibWVzc2FnZSI6IkJBaHBBcFVHIiwiZXhwIjpudWxsLCJwdXIiOiJibG9iX2lkIn19--3fc26241b219863fc669c21ee2c8a1fea04da755/f|</t>
  </si>
  <si>
    <t>https://climate-laws.org/rails/active_storage/blobs/eyJfcmFpbHMiOnsibWVzc2FnZSI6IkJBaHBBcFVHIiwiZXhwIjpudWxsLCJwdXIiOiJibG9iX2lkIn19--3fc26241b219863fc669c21ee2c8a1fea04da755/f</t>
  </si>
  <si>
    <t>Energy Resources Regulations (Performing a Study to Find a Potential to Energy Conservation), 5753-1993</t>
  </si>
  <si>
    <t>https://climate-laws.org/rails/active_storage/blobs/eyJfcmFpbHMiOnsibWVzc2FnZSI6IkJBaHBBcFlHIiwiZXhwIjpudWxsLCJwdXIiOiJibG9iX2lkIn19--b62e6de121bf53bd7f7fb797658799e615e29aeb/f|</t>
  </si>
  <si>
    <t>https://climate-laws.org/rails/active_storage/blobs/eyJfcmFpbHMiOnsibWVzc2FnZSI6IkJBaHBBcFlHIiwiZXhwIjpudWxsLCJwdXIiOiJibG9iX2lkIn19--b62e6de121bf53bd7f7fb797658799e615e29aeb/f</t>
  </si>
  <si>
    <t>חוק מקורות אנרגיה, תש"ן-1989</t>
  </si>
  <si>
    <t>https://climate-laws.org/rails/active_storage/blobs/eyJfcmFpbHMiOnsibWVzc2FnZSI6IkJBaHBBcUlKIiwiZXhwIjpudWxsLCJwdXIiOiJibG9iX2lkIn19--d1d737bbf56ee65d9f8c96b8894b8beade73e4de/f|</t>
  </si>
  <si>
    <t>https://climate-laws.org/rails/active_storage/blobs/eyJfcmFpbHMiOnsibWVzc2FnZSI6IkJBaHBBcUlKIiwiZXhwIjpudWxsLCJwdXIiOiJibG9iX2lkIn19--d1d737bbf56ee65d9f8c96b8894b8beade73e4de/f</t>
  </si>
  <si>
    <t>Energy Sources Law, 5750-1989</t>
  </si>
  <si>
    <t>https://climate-laws.org/rails/active_storage/blobs/eyJfcmFpbHMiOnsibWVzc2FnZSI6IkJBaHBBcU1KIiwiZXhwIjpudWxsLCJwdXIiOiJibG9iX2lkIn19--aad80e3c9980331494782897e7f3bb4bc40af899/f|</t>
  </si>
  <si>
    <t>https://climate-laws.org/rails/active_storage/blobs/eyJfcmFpbHMiOnsibWVzc2FnZSI6IkJBaHBBcU1KIiwiZXhwIjpudWxsLCJwdXIiOiJibG9iX2lkIn19--aad80e3c9980331494782897e7f3bb4bc40af899/f</t>
  </si>
  <si>
    <t>החלטה מספר 171 של הממשלה מיום 25.07.2021</t>
  </si>
  <si>
    <t>Resolution</t>
  </si>
  <si>
    <t>https://www.gov.il/he/departments/policies/dec171_2021|he</t>
  </si>
  <si>
    <t>https://www.gov.il/he/departments/policies/dec171_2021</t>
  </si>
  <si>
    <t>החלטה מספר  542 של הממשלה מיום 20.09.2015</t>
  </si>
  <si>
    <t>https://www.gov.il/he/Departments/policies/2015_dec542|he</t>
  </si>
  <si>
    <t>https://www.gov.il/he/Departments/policies/2015_dec542</t>
  </si>
  <si>
    <t>אסטרטגיית פסולת 2030, כלכלה מעגלית 2050</t>
  </si>
  <si>
    <t>Strategy</t>
  </si>
  <si>
    <t>https://www.gov.il/he/departments/guides/waste_strategy_2030_circular_economy_2050|he</t>
  </si>
  <si>
    <t>https://www.gov.il/he/departments/guides/waste_strategy_2030_circular_economy_2050</t>
  </si>
  <si>
    <t>Ministry Unveils New Waste Strategy that is Both Environmental and Economic</t>
  </si>
  <si>
    <t>https://www.gov.il/en/departments/news/ministry_unveils_new_waste_strategy_for_israel|en</t>
  </si>
  <si>
    <t>https://www.gov.il/en/departments/news/ministry_unveils_new_waste_strategy_for_israel</t>
  </si>
  <si>
    <t>Strategia Energetica Nazionale: per un’energia più competitiva e sostenibile</t>
  </si>
  <si>
    <t>Italy</t>
  </si>
  <si>
    <t>ITA</t>
  </si>
  <si>
    <t>Italian</t>
  </si>
  <si>
    <t>https://climate-laws.org/rails/active_storage/blobs/eyJfcmFpbHMiOnsibWVzc2FnZSI6IkJBaHBBaE1HIiwiZXhwIjpudWxsLCJwdXIiOiJibG9iX2lkIn19--76ef762e995acedaa724541f478f6b4d776afd78/f|it</t>
  </si>
  <si>
    <t>https://climate-laws.org/rails/active_storage/blobs/eyJfcmFpbHMiOnsibWVzc2FnZSI6IkJBaHBBaE1HIiwiZXhwIjpudWxsLCJwdXIiOiJibG9iX2lkIn19--76ef762e995acedaa724541f478f6b4d776afd78/f</t>
  </si>
  <si>
    <t>Italy's National Energy Strategy: For a more competitive and sustainable energy</t>
  </si>
  <si>
    <t>https://climate-laws.org/rails/active_storage/blobs/eyJfcmFpbHMiOnsibWVzc2FnZSI6IkJBaHBBaFFHIiwiZXhwIjpudWxsLCJwdXIiOiJibG9iX2lkIn19--9ea0c7985bd8e2cc31c27582a370ea3607064d40/f|en</t>
  </si>
  <si>
    <t>https://climate-laws.org/rails/active_storage/blobs/eyJfcmFpbHMiOnsibWVzc2FnZSI6IkJBaHBBaFFHIiwiZXhwIjpudWxsLCJwdXIiOiJibG9iX2lkIn19--9ea0c7985bd8e2cc31c27582a370ea3607064d40/f</t>
  </si>
  <si>
    <t>Italy's National Energy Strategy 2017</t>
  </si>
  <si>
    <t>https://www.mise.gov.it/images/stories/documenti/BROCHURE_ENG_SEN.PDF|en</t>
  </si>
  <si>
    <t>https://www.mise.gov.it/images/stories/documenti/BROCHURE_ENG_SEN.PDF</t>
  </si>
  <si>
    <t>Disposizioni per la formazione del bilancio annuale e pluriennale dello Stato (legge finanziaria 2008)</t>
  </si>
  <si>
    <t>https://climate-laws.org/rails/active_storage/blobs/eyJfcmFpbHMiOnsibWVzc2FnZSI6IkJBaHBBcFFKIiwiZXhwIjpudWxsLCJwdXIiOiJibG9iX2lkIn19--a5b7f702337546914460ef1ee5a1a1f8c6a35b20/f|</t>
  </si>
  <si>
    <t>https://climate-laws.org/rails/active_storage/blobs/eyJfcmFpbHMiOnsibWVzc2FnZSI6IkJBaHBBcFFKIiwiZXhwIjpudWxsLCJwdXIiOiJibG9iX2lkIn19--a5b7f702337546914460ef1ee5a1a1f8c6a35b20/f</t>
  </si>
  <si>
    <t>Legge 29 novembre 2007, n. 222 "Conversione in legge, con modificazioni, del decreto-legge 1° ottobre 2007, n. 159, recante interventi urgenti in materia economico-finanziaria, per lo sviluppo e l'equita' sociale"</t>
  </si>
  <si>
    <t>https://climate-laws.org/rails/active_storage/blobs/eyJfcmFpbHMiOnsibWVzc2FnZSI6IkJBaHBBcFVKIiwiZXhwIjpudWxsLCJwdXIiOiJibG9iX2lkIn19--314d091312cbbde98d6bc61530698d2831613baf/f|</t>
  </si>
  <si>
    <t>https://climate-laws.org/rails/active_storage/blobs/eyJfcmFpbHMiOnsibWVzc2FnZSI6IkJBaHBBcFVKIiwiZXhwIjpudWxsLCJwdXIiOiJibG9iX2lkIn19--314d091312cbbde98d6bc61530698d2831613baf/f</t>
  </si>
  <si>
    <t>DECRETO 18 dicembre 2008 Incentivazione della produzione di energia elettrica da fonti rinnovabili, ai sensi dell'articolo 2, comma 150, della legge 24 dicembre 2007, n. 244.</t>
  </si>
  <si>
    <t>https://climate-laws.org/rails/active_storage/blobs/eyJfcmFpbHMiOnsibWVzc2FnZSI6IkJBaHBBcFlKIiwiZXhwIjpudWxsLCJwdXIiOiJibG9iX2lkIn19--140826a8bd90bbb4a57dd167c045ef598e1665ae/f|</t>
  </si>
  <si>
    <t>https://climate-laws.org/rails/active_storage/blobs/eyJfcmFpbHMiOnsibWVzc2FnZSI6IkJBaHBBcFlKIiwiZXhwIjpudWxsLCJwdXIiOiJibG9iX2lkIn19--140826a8bd90bbb4a57dd167c045ef598e1665ae/f</t>
  </si>
  <si>
    <t>Legge 23 luglio 2009, n. 99 "Disposizioni per lo sviluppo e l'internazionalizzazione delle imprese, nonché in materia di energia"</t>
  </si>
  <si>
    <t>https://climate-laws.org/rails/active_storage/blobs/eyJfcmFpbHMiOnsibWVzc2FnZSI6IkJBaHBBcGNKIiwiZXhwIjpudWxsLCJwdXIiOiJibG9iX2lkIn19--de9434f66ab0c41e399263ad16a9a24420be4766/f|</t>
  </si>
  <si>
    <t>https://climate-laws.org/rails/active_storage/blobs/eyJfcmFpbHMiOnsibWVzc2FnZSI6IkJBaHBBcGNKIiwiZXhwIjpudWxsLCJwdXIiOiJibG9iX2lkIn19--de9434f66ab0c41e399263ad16a9a24420be4766/f</t>
  </si>
  <si>
    <t>Legge 23 dicembre 2000, n. 388 "Disposizioni per la formazione del bilancio annuale e pluriennale dello Stato (legge finanziaria 2001)"</t>
  </si>
  <si>
    <t>https://climate-laws.org/rails/active_storage/blobs/eyJfcmFpbHMiOnsibWVzc2FnZSI6IkJBaHBBcEFKIiwiZXhwIjpudWxsLCJwdXIiOiJibG9iX2lkIn19--6444fbac6e2186afa7ae222e5fdfec3b44c183c2/f|</t>
  </si>
  <si>
    <t>https://climate-laws.org/rails/active_storage/blobs/eyJfcmFpbHMiOnsibWVzc2FnZSI6IkJBaHBBcEFKIiwiZXhwIjpudWxsLCJwdXIiOiJibG9iX2lkIn19--6444fbac6e2186afa7ae222e5fdfec3b44c183c2/f</t>
  </si>
  <si>
    <t>Legge 27 dicembre 2006, n. 296 "Disposizioni per la formazione del bilancio annuale e pluriennale dello Stato (legge finanziaria 2007)"</t>
  </si>
  <si>
    <t>https://climate-laws.org/rails/active_storage/blobs/eyJfcmFpbHMiOnsibWVzc2FnZSI6IkJBaHBBcEVKIiwiZXhwIjpudWxsLCJwdXIiOiJibG9iX2lkIn19--478d9513507b4c7f6dc2d77439c4e7ccbadadf73/f|</t>
  </si>
  <si>
    <t>https://climate-laws.org/rails/active_storage/blobs/eyJfcmFpbHMiOnsibWVzc2FnZSI6IkJBaHBBcEVKIiwiZXhwIjpudWxsLCJwdXIiOiJibG9iX2lkIn19--478d9513507b4c7f6dc2d77439c4e7ccbadadf73/f</t>
  </si>
  <si>
    <t>LEGGE 23 dicembre 2009 , n. 191 . Disposizioni per la formazione del bilancio annuale e pluriennale dello Stato (legge finanziaria 2010)</t>
  </si>
  <si>
    <t>https://climate-laws.org/rails/active_storage/blobs/eyJfcmFpbHMiOnsibWVzc2FnZSI6IkJBaHBBcElKIiwiZXhwIjpudWxsLCJwdXIiOiJibG9iX2lkIn19--90f61373a41b8248e2d853ceea643bdd92938c84/f|</t>
  </si>
  <si>
    <t>https://climate-laws.org/rails/active_storage/blobs/eyJfcmFpbHMiOnsibWVzc2FnZSI6IkJBaHBBcElKIiwiZXhwIjpudWxsLCJwdXIiOiJibG9iX2lkIn19--90f61373a41b8248e2d853ceea643bdd92938c84/f</t>
  </si>
  <si>
    <t>LEGGE 27 dicembre 2017, n. 205 Bilancio di previsione dello Stato per l'anno finanziario 2018 e bilancio pluriennale per il triennio 2018-2020. (17G00222)</t>
  </si>
  <si>
    <t>https://climate-laws.org/rails/active_storage/blobs/eyJfcmFpbHMiOnsibWVzc2FnZSI6IkJBaHBBcE1KIiwiZXhwIjpudWxsLCJwdXIiOiJibG9iX2lkIn19--348567302c85bbf05e0ba58ccc3f03a8652937c3/f|</t>
  </si>
  <si>
    <t>https://climate-laws.org/rails/active_storage/blobs/eyJfcmFpbHMiOnsibWVzc2FnZSI6IkJBaHBBcE1KIiwiZXhwIjpudWxsLCJwdXIiOiJibG9iX2lkIn19--348567302c85bbf05e0ba58ccc3f03a8652937c3/f</t>
  </si>
  <si>
    <t>Criteri e modalità per incentivare la produzione di energia elettrica mediante conversione fotovoltaica della fonte solare, in attuazione dell'articolo 7 del D.Lgs. 29 dicembre 2003, n. 387.</t>
  </si>
  <si>
    <t>Criteria</t>
  </si>
  <si>
    <t>https://climate-laws.org/rails/active_storage/blobs/eyJfcmFpbHMiOnsibWVzc2FnZSI6IkJBaHBBaVVLIiwiZXhwIjpudWxsLCJwdXIiOiJibG9iX2lkIn19--5b03af1eb044366f0a8fa0054d733fb700964b02/f|</t>
  </si>
  <si>
    <t>https://climate-laws.org/rails/active_storage/blobs/eyJfcmFpbHMiOnsibWVzc2FnZSI6IkJBaHBBaVVLIiwiZXhwIjpudWxsLCJwdXIiOiJibG9iX2lkIn19--5b03af1eb044366f0a8fa0054d733fb700964b02/f</t>
  </si>
  <si>
    <t>https://climate-laws.org/rails/active_storage/blobs/eyJfcmFpbHMiOnsibWVzc2FnZSI6IkJBaHBBaVlLIiwiZXhwIjpudWxsLCJwdXIiOiJibG9iX2lkIn19--67120b128c2b437d31f2f00d0469c2d865867c90/f|</t>
  </si>
  <si>
    <t>https://climate-laws.org/rails/active_storage/blobs/eyJfcmFpbHMiOnsibWVzc2FnZSI6IkJBaHBBaVlLIiwiZXhwIjpudWxsLCJwdXIiOiJibG9iX2lkIn19--67120b128c2b437d31f2f00d0469c2d865867c90/f</t>
  </si>
  <si>
    <t>L. 23 agosto 2004, n. 239 Riordino del settore energetico, nonché delega al Governo per il riassetto delle disposizioni vigenti in materia di energia</t>
  </si>
  <si>
    <t>https://climate-laws.org/rails/active_storage/blobs/eyJfcmFpbHMiOnsibWVzc2FnZSI6IkJBaHBBb3NKIiwiZXhwIjpudWxsLCJwdXIiOiJibG9iX2lkIn19--24b5cda122f230d2fc608c9c26b17a58e2cd2f55/f|</t>
  </si>
  <si>
    <t>https://climate-laws.org/rails/active_storage/blobs/eyJfcmFpbHMiOnsibWVzc2FnZSI6IkJBaHBBb3NKIiwiZXhwIjpudWxsLCJwdXIiOiJibG9iX2lkIn19--24b5cda122f230d2fc608c9c26b17a58e2cd2f55/f</t>
  </si>
  <si>
    <t>Legge 23 agosto 2004, n. 239 Riordino del settore energetico, nonché delega al Governo per il riassetto delle disposizioni vigenti in materia di energia</t>
  </si>
  <si>
    <t>https://climate-laws.org/rails/active_storage/blobs/eyJfcmFpbHMiOnsibWVzc2FnZSI6IkJBaHBBb3dKIiwiZXhwIjpudWxsLCJwdXIiOiJibG9iX2lkIn19--4018ff58ad4b33b7825de52133128f41118f3a33/f|</t>
  </si>
  <si>
    <t>https://climate-laws.org/rails/active_storage/blobs/eyJfcmFpbHMiOnsibWVzc2FnZSI6IkJBaHBBb3dKIiwiZXhwIjpudWxsLCJwdXIiOiJibG9iX2lkIn19--4018ff58ad4b33b7825de52133128f41118f3a33/f</t>
  </si>
  <si>
    <t>DELIBERAZIONE CIPE 19 dicembre 2002, n. 123/2002 Revisione delle linee guida per le politiche e misure nazionali di riduzione delle emissioni dei gas serra (legge n. 120/2002)</t>
  </si>
  <si>
    <t>https://climate-laws.org/rails/active_storage/blobs/eyJfcmFpbHMiOnsibWVzc2FnZSI6IkJBaHBBb2dKIiwiZXhwIjpudWxsLCJwdXIiOiJibG9iX2lkIn19--7448d8c08fa7a7850aa98f57b304fffa229eae33/f|</t>
  </si>
  <si>
    <t>https://climate-laws.org/rails/active_storage/blobs/eyJfcmFpbHMiOnsibWVzc2FnZSI6IkJBaHBBb2dKIiwiZXhwIjpudWxsLCJwdXIiOiJibG9iX2lkIn19--7448d8c08fa7a7850aa98f57b304fffa229eae33/f</t>
  </si>
  <si>
    <t>DELIBERAZIONE 11 dicembre 2007 Aggiornamento della delibera CIPE n. 123/2002 recante «revisione delle linee guida per le politiche e misure nazionali di riduzione delle emissioni di gas-serra». (Deliberazione n. 135/2007).</t>
  </si>
  <si>
    <t>https://climate-laws.org/rails/active_storage/blobs/eyJfcmFpbHMiOnsibWVzc2FnZSI6IkJBaHBBb2tKIiwiZXhwIjpudWxsLCJwdXIiOiJibG9iX2lkIn19--5942f35d34df7711c1f3ad3a5d61570abcc66155/f|</t>
  </si>
  <si>
    <t>https://climate-laws.org/rails/active_storage/blobs/eyJfcmFpbHMiOnsibWVzc2FnZSI6IkJBaHBBb2tKIiwiZXhwIjpudWxsLCJwdXIiOiJibG9iX2lkIn19--5942f35d34df7711c1f3ad3a5d61570abcc66155/f</t>
  </si>
  <si>
    <t>https://climate-laws.org/rails/active_storage/blobs/eyJfcmFpbHMiOnsibWVzc2FnZSI6IkJBaHBBZzhHIiwiZXhwIjpudWxsLCJwdXIiOiJibG9iX2lkIn19--3fe61301640bdf39f9d0ef20fd26e08b156569b8/f|</t>
  </si>
  <si>
    <t>https://climate-laws.org/rails/active_storage/blobs/eyJfcmFpbHMiOnsibWVzc2FnZSI6IkJBaHBBZzhHIiwiZXhwIjpudWxsLCJwdXIiOiJibG9iX2lkIn19--3fe61301640bdf39f9d0ef20fd26e08b156569b8/f</t>
  </si>
  <si>
    <t>Strategia Nazionale di Adattamento ai Cambiamenti Climatici</t>
  </si>
  <si>
    <t>National Strategy on Adaptation to Climate Change</t>
  </si>
  <si>
    <t>https://www.mite.gov.it/sites/default/files/archivio/allegati/clima/documento_SNAC.pdf|</t>
  </si>
  <si>
    <t>https://www.mite.gov.it/sites/default/files/archivio/allegati/clima/documento_SNAC.pdf</t>
  </si>
  <si>
    <t>https://climate-laws.org/rails/active_storage/blobs/eyJfcmFpbHMiOnsibWVzc2FnZSI6IkJBaHBBa1lKIiwiZXhwIjpudWxsLCJwdXIiOiJibG9iX2lkIn19--ccb30ea48221d8ecbd13f5f1fd9fb207b5d5e461/f|</t>
  </si>
  <si>
    <t>https://climate-laws.org/rails/active_storage/blobs/eyJfcmFpbHMiOnsibWVzc2FnZSI6IkJBaHBBa1lKIiwiZXhwIjpudWxsLCJwdXIiOiJibG9iX2lkIn19--ccb30ea48221d8ecbd13f5f1fd9fb207b5d5e461/f</t>
  </si>
  <si>
    <t>https://climate-laws.org/rails/active_storage/blobs/eyJfcmFpbHMiOnsibWVzc2FnZSI6IkJBaHBBa2NKIiwiZXhwIjpudWxsLCJwdXIiOiJibG9iX2lkIn19--48af347b549a936f225901dd900a7900d391def7/f|</t>
  </si>
  <si>
    <t>https://climate-laws.org/rails/active_storage/blobs/eyJfcmFpbHMiOnsibWVzc2FnZSI6IkJBaHBBa2NKIiwiZXhwIjpudWxsLCJwdXIiOiJibG9iX2lkIn19--48af347b549a936f225901dd900a7900d391def7/f</t>
  </si>
  <si>
    <t>http://www.governo.it/it/articolo/comunicato-stampa-del-consiglio-dei-ministri-n-45/14602|it</t>
  </si>
  <si>
    <t>http://www.governo.it/it/articolo/comunicato-stampa-del-consiglio-dei-ministri-n-45/14602</t>
  </si>
  <si>
    <t>DECRETO-LEGGE 19 maggio 2020, n. 34.: Misure urgenti in materia di salute, sostegno al lavoro e all’economia, nonché di politiche sociali connesse all’emergenza epidemiologica da COVID-19</t>
  </si>
  <si>
    <t>Decree Law</t>
  </si>
  <si>
    <t>https://climate-laws.org/rails/active_storage/blobs/eyJfcmFpbHMiOnsibWVzc2FnZSI6IkJBaHBBZ2NNIiwiZXhwIjpudWxsLCJwdXIiOiJibG9iX2lkIn19--bccd50d38e831f32f0adb3b84d3c4e00718cb63c/20200519_128_SO_021.pdf|it</t>
  </si>
  <si>
    <t>https://climate-laws.org/rails/active_storage/blobs/eyJfcmFpbHMiOnsibWVzc2FnZSI6IkJBaHBBZ2NNIiwiZXhwIjpudWxsLCJwdXIiOiJibG9iX2lkIn19--bccd50d38e831f32f0adb3b84d3c4e00718cb63c/20200519_128_SO_021.pdf</t>
  </si>
  <si>
    <t>Decreto-legge recante misure urgenti in materia di salute, sostegno al lavoro e all’economia, nonché di politiche sociali, connesse all’emergenza epidemiologica da Covid-19</t>
  </si>
  <si>
    <t>http://www.governo.it/sites/new.governo.it/files/DL_20200520.pdf|it</t>
  </si>
  <si>
    <t>http://www.governo.it/sites/new.governo.it/files/DL_20200520.pdf</t>
  </si>
  <si>
    <t>Superbonus 110%, la guida e i documenti</t>
  </si>
  <si>
    <t>https://www.governo.it/it/articolo/superbonus-la-guida-e-i-documenti/15955|it</t>
  </si>
  <si>
    <t>https://www.governo.it/it/articolo/superbonus-la-guida-e-i-documenti/15955</t>
  </si>
  <si>
    <t>Conversione in legge, con modificazioni, del decreto-legge 19 maggio 2020, n. 34, recante misure urgenti in materia di salute, sostegno al lavoro e all'economia, nonche' di politiche sociali connesse all'emergenza epidemiologica da COVID-19.</t>
  </si>
  <si>
    <t>https://www.gazzettaufficiale.it/eli/id/2020/07/18/20G00095/sg|it</t>
  </si>
  <si>
    <t>https://www.gazzettaufficiale.it/eli/id/2020/07/18/20G00095/sg</t>
  </si>
  <si>
    <t>text/html;charset=UTF-8</t>
  </si>
  <si>
    <t>DECRETO-LEGGE 11 novembre 2021, n. 157: Misure urgenti per il contrasto alle frodi nel settore delle agevolazioni fiscali ed economiche</t>
  </si>
  <si>
    <t>https://www.gazzettaufficiale.it/eli/id/2021/11/11/21G00173/sg|it</t>
  </si>
  <si>
    <t>https://www.gazzettaufficiale.it/eli/id/2021/11/11/21G00173/sg</t>
  </si>
  <si>
    <t>INTEGRATED NATIONAL ENERGY AND CLIMATE PLAN</t>
  </si>
  <si>
    <t>Plan</t>
  </si>
  <si>
    <t>https://ec.europa.eu/energy/sites/ener/files/documents/it_final_necp_main_en.pdf|en</t>
  </si>
  <si>
    <t>https://ec.europa.eu/energy/sites/ener/files/documents/it_final_necp_main_en.pdf</t>
  </si>
  <si>
    <t>PIANO NAZIONALE INTEGRATO PER L’ENERGIA E IL CLIMA</t>
  </si>
  <si>
    <t>https://ec.europa.eu/energy/sites/ener/files/documents/it_final_necp_main_it.pdf|it</t>
  </si>
  <si>
    <t>https://ec.europa.eu/energy/sites/ener/files/documents/it_final_necp_main_it.pdf</t>
  </si>
  <si>
    <t>Piano Nazionale di Ripresa e Resilienza</t>
  </si>
  <si>
    <t>https://www.governo.it/sites/governo.it/files/PNRR.pdf|it</t>
  </si>
  <si>
    <t>https://www.governo.it/sites/governo.it/files/PNRR.pdf</t>
  </si>
  <si>
    <t>Italy’s recovery and resilience plan</t>
  </si>
  <si>
    <t>https://ec.europa.eu/info/business-economy-euro/recovery-coronavirus/recovery-and-resilience-facility/italys-recovery-and-resilience-plan_en#italys-recovery-and-resilience-plan|en</t>
  </si>
  <si>
    <t>https://ec.europa.eu/info/business-economy-euro/recovery-coronavirus/recovery-and-resilience-facility/italys-recovery-and-resilience-plan_en#italys-recovery-and-resilience-plan</t>
  </si>
  <si>
    <t>COUNCIL IMPLEMENTING DECISION on the approval of the assessment of the recovery and resilience plan for Italy</t>
  </si>
  <si>
    <t>EU Decision</t>
  </si>
  <si>
    <t>https://data.consilium.europa.eu/doc/document/ST-10160-2021-INIT/en/pdf|en</t>
  </si>
  <si>
    <t>https://data.consilium.europa.eu/doc/document/ST-10160-2021-INIT/en/pdf</t>
  </si>
  <si>
    <t>Vision 2030 Jamaica: National Development Plan</t>
  </si>
  <si>
    <t>Jamaica</t>
  </si>
  <si>
    <t>JAM</t>
  </si>
  <si>
    <t>Vision</t>
  </si>
  <si>
    <t>https://climate-laws.org/rails/active_storage/blobs/eyJfcmFpbHMiOnsibWVzc2FnZSI6IkJBaHBBaUlJIiwiZXhwIjpudWxsLCJwdXIiOiJibG9iX2lkIn19--0a5df662a7749cf74a037871f5383ba9a981de7f/f|en</t>
  </si>
  <si>
    <t>https://climate-laws.org/rails/active_storage/blobs/eyJfcmFpbHMiOnsibWVzc2FnZSI6IkJBaHBBaUlJIiwiZXhwIjpudWxsLCJwdXIiOiJibG9iX2lkIn19--0a5df662a7749cf74a037871f5383ba9a981de7f/f</t>
  </si>
  <si>
    <t>https://climate-laws.org/rails/active_storage/blobs/eyJfcmFpbHMiOnsibWVzc2FnZSI6IkJBaHBBb0FNIiwiZXhwIjpudWxsLCJwdXIiOiJibG9iX2lkIn19--aa0695c4f0a1a729dcf05cbde049de7582835670/vision%202030%20jamaica%20ndp%20full%20no%20cover%20(web).pdf|en</t>
  </si>
  <si>
    <t>https://climate-laws.org/rails/active_storage/blobs/eyJfcmFpbHMiOnsibWVzc2FnZSI6IkJBaHBBb0FNIiwiZXhwIjpudWxsLCJwdXIiOiJibG9iX2lkIn19--aa0695c4f0a1a729dcf05cbde049de7582835670/vision%202030%20jamaica%20ndp%20full%20no%20cover%20(web).pdf</t>
  </si>
  <si>
    <t>Climate Change Policy Framework and Action Plan</t>
  </si>
  <si>
    <t>Framework</t>
  </si>
  <si>
    <t>https://climate-laws.org/rails/active_storage/blobs/eyJfcmFpbHMiOnsibWVzc2FnZSI6IkJBaHBBaU1JIiwiZXhwIjpudWxsLCJwdXIiOiJibG9iX2lkIn19--3ed5b9c9106acc1a06e417c0429a1592bd26d7f7/f|en</t>
  </si>
  <si>
    <t>https://climate-laws.org/rails/active_storage/blobs/eyJfcmFpbHMiOnsibWVzc2FnZSI6IkJBaHBBaU1JIiwiZXhwIjpudWxsLCJwdXIiOiJibG9iX2lkIn19--3ed5b9c9106acc1a06e417c0429a1592bd26d7f7/f</t>
  </si>
  <si>
    <t xml:space="preserve">Climate Change Policy Framework </t>
  </si>
  <si>
    <t>https://climate-laws.org/rails/active_storage/blobs/eyJfcmFpbHMiOnsibWVzc2FnZSI6IkJBaHBBbjhNIiwiZXhwIjpudWxsLCJwdXIiOiJibG9iX2lkIn19--1948ac272e274ab45b8c956916f5b9c56c30b8b6/Jamaica-Climate-Change-Policy-fwL-2015.pdf|en</t>
  </si>
  <si>
    <t>https://climate-laws.org/rails/active_storage/blobs/eyJfcmFpbHMiOnsibWVzc2FnZSI6IkJBaHBBbjhNIiwiZXhwIjpudWxsLCJwdXIiOiJibG9iX2lkIn19--1948ac272e274ab45b8c956916f5b9c56c30b8b6/Jamaica-Climate-Change-Policy-fwL-2015.pdf</t>
  </si>
  <si>
    <t>Act on Special Measures Concerning Procurement of Electricity from
Renewable Energy Sources by Electricity Utilities</t>
  </si>
  <si>
    <t>Japan</t>
  </si>
  <si>
    <t>JPN</t>
  </si>
  <si>
    <t>Japanese</t>
  </si>
  <si>
    <t>https://climate-laws.org/rails/active_storage/blobs/eyJfcmFpbHMiOnsibWVzc2FnZSI6IkJBaHBBb0FKIiwiZXhwIjpudWxsLCJwdXIiOiJibG9iX2lkIn19--da058b5ad11d7f91400c88dc6ce397a23117d67f/f|</t>
  </si>
  <si>
    <t>https://climate-laws.org/rails/active_storage/blobs/eyJfcmFpbHMiOnsibWVzc2FnZSI6IkJBaHBBb0FKIiwiZXhwIjpudWxsLCJwdXIiOiJibG9iX2lkIn19--da058b5ad11d7f91400c88dc6ce397a23117d67f/f</t>
  </si>
  <si>
    <t>Cabinet Decision on the Bill for the Act of Partial Revision of the Electricity Business Act and Other Acts for Establishing Resilient and Sustainable Electricity Supply Systems</t>
  </si>
  <si>
    <t>Decision</t>
  </si>
  <si>
    <t>https://www.meti.go.jp/english/press/2020/0225_001.html|en</t>
  </si>
  <si>
    <t>https://www.meti.go.jp/english/press/2020/0225_001.html</t>
  </si>
  <si>
    <t>text/html</t>
  </si>
  <si>
    <t>Act on Promotion of Global Warming Countermeasures</t>
  </si>
  <si>
    <t>https://climate-laws.org/rails/active_storage/blobs/eyJfcmFpbHMiOnsibWVzc2FnZSI6IkJBaHBBaGtJIiwiZXhwIjpudWxsLCJwdXIiOiJibG9iX2lkIn19--f1aa609515dfd46437ed7ca9d2ab7a036564df28/f|ja</t>
  </si>
  <si>
    <t>https://climate-laws.org/rails/active_storage/blobs/eyJfcmFpbHMiOnsibWVzc2FnZSI6IkJBaHBBaGtJIiwiZXhwIjpudWxsLCJwdXIiOiJibG9iX2lkIn19--f1aa609515dfd46437ed7ca9d2ab7a036564df28/f</t>
  </si>
  <si>
    <t>地球温暖化対策の推進に関する法律の一部を改正する法律案の閣議決定について</t>
  </si>
  <si>
    <t>http://www.env.go.jp/press/109218.html|ja</t>
  </si>
  <si>
    <t>http://www.env.go.jp/press/109218.html</t>
  </si>
  <si>
    <t>改正地球温暖化対策推進法について</t>
  </si>
  <si>
    <t>http://www.env.go.jp/press/ontaihou/116348.pdf|ja</t>
  </si>
  <si>
    <t>http://www.env.go.jp/press/ontaihou/116348.pdf</t>
  </si>
  <si>
    <t>Cabinet Decision on the Plan for Global Warming Countermeasures</t>
  </si>
  <si>
    <t>http://www.env.go.jp/en/headline/2238.html|</t>
  </si>
  <si>
    <t>http://www.env.go.jp/en/headline/2238.html</t>
  </si>
  <si>
    <t>Overview of the Plan for Global Warming Countermeasures: Cabinet Decision</t>
  </si>
  <si>
    <t>https://climate-laws.org/rails/active_storage/blobs/eyJfcmFpbHMiOnsibWVzc2FnZSI6IkJBaHBBbzBIIiwiZXhwIjpudWxsLCJwdXIiOiJibG9iX2lkIn19--d76ba6eb07212363acdd03d8cd888dce5648687c/f|</t>
  </si>
  <si>
    <t>https://climate-laws.org/rails/active_storage/blobs/eyJfcmFpbHMiOnsibWVzc2FnZSI6IkJBaHBBbzBIIiwiZXhwIjpudWxsLCJwdXIiOiJibG9iX2lkIn19--d76ba6eb07212363acdd03d8cd888dce5648687c/f</t>
  </si>
  <si>
    <t>Strategic Energy Plan</t>
  </si>
  <si>
    <t>http://www.enecho.meti.go.jp/en/category/others/basic_plan/pdf/4th_strategic_energy_plan.pdf|en</t>
  </si>
  <si>
    <t>http://www.enecho.meti.go.jp/en/category/others/basic_plan/pdf/4th_strategic_energy_plan.pdf</t>
  </si>
  <si>
    <t>Long-term Energy Supply and Demand Outlook</t>
  </si>
  <si>
    <t>Press Release</t>
  </si>
  <si>
    <t>http://www.meti.go.jp/english/press/2015/0716_01.html|en</t>
  </si>
  <si>
    <t>http://www.meti.go.jp/english/press/2015/0716_01.html</t>
  </si>
  <si>
    <t>Cabinet Decision on the New Strategic Energy Plan</t>
  </si>
  <si>
    <t>https://www.meti.go.jp/english/press/2018/0703_002.html|en</t>
  </si>
  <si>
    <t>https://www.meti.go.jp/english/press/2018/0703_002.html</t>
  </si>
  <si>
    <t>National Plan for Adaptation to the Impacts of Climate Change: Cabinet Decision</t>
  </si>
  <si>
    <t>http://www.env.go.jp/en/focus/docs/files/20151127-101.pdf|</t>
  </si>
  <si>
    <t>http://www.env.go.jp/en/focus/docs/files/20151127-101.pdf</t>
  </si>
  <si>
    <t>Report on Assessment of Impacts of Climate Change in Japan and Future Challenges (Comment Submission)</t>
  </si>
  <si>
    <t>Assessment</t>
  </si>
  <si>
    <t>http://www.env.go.jp/en/focus/docs/files/20150300-100.pdf|</t>
  </si>
  <si>
    <t>http://www.env.go.jp/en/focus/docs/files/20150300-100.pdf</t>
  </si>
  <si>
    <t>“Green Growth Strategy Through Achieving Carbon Neutrality in 2050” Formulated</t>
  </si>
  <si>
    <t>https://www.meti.go.jp/english/press/2020/1225_001.html|en</t>
  </si>
  <si>
    <t>https://www.meti.go.jp/english/press/2020/1225_001.html</t>
  </si>
  <si>
    <t>Overview of Japan’s Green Growth Strategy Through Achieving Carbon Neutrality in 2050</t>
  </si>
  <si>
    <t>https://www.meti.go.jp/english/press/2020/pdf/1225_001a.pdf|en</t>
  </si>
  <si>
    <t>https://www.meti.go.jp/english/press/2020/pdf/1225_001a.pdf</t>
  </si>
  <si>
    <t>2050 年カーボンニュートラル に伴うグリーン成長戦略</t>
  </si>
  <si>
    <t>Green Growth Strategy Through Achieving Carbon Neutrality in 2050</t>
  </si>
  <si>
    <t>https://www.meti.go.jp/press/2020/12/20201225012/20201225012-2.pdf|ja</t>
  </si>
  <si>
    <t>https://www.meti.go.jp/press/2020/12/20201225012/20201225012-2.pdf</t>
  </si>
  <si>
    <t>Basic Hydrogen Strategy</t>
  </si>
  <si>
    <t>https://www.meti.go.jp/english/press/2017/pdf/1226_003b.pdf|en</t>
  </si>
  <si>
    <t>https://www.meti.go.jp/english/press/2017/pdf/1226_003b.pdf</t>
  </si>
  <si>
    <t>https://www.meti.go.jp/english/press/2019/0312_002.html|</t>
  </si>
  <si>
    <t>https://www.meti.go.jp/english/press/2019/0312_002.html</t>
  </si>
  <si>
    <t>Strategy for Sustainable Food Systems, MeaDRI</t>
  </si>
  <si>
    <t>https://www.maff.go.jp/e/policies/env/env_policy/meadri.html|en</t>
  </si>
  <si>
    <t>https://www.maff.go.jp/e/policies/env/env_policy/meadri.html</t>
  </si>
  <si>
    <t>text/html; charset=UTF-8</t>
  </si>
  <si>
    <t>Measures for achievement of Decarbonization and Resilience with Innovation (MeaDRI)</t>
  </si>
  <si>
    <t>https://www.maff.go.jp/e/policies/env/env_policy/attach/pdf/meadri_s.pdf|en</t>
  </si>
  <si>
    <t>https://www.maff.go.jp/e/policies/env/env_policy/attach/pdf/meadri_s.pdf</t>
  </si>
  <si>
    <t>https://www.maff.go.jp/e/policies/env/env_policy/attach/pdf/meadri-4.pdf|en</t>
  </si>
  <si>
    <t>https://www.maff.go.jp/e/policies/env/env_policy/attach/pdf/meadri-4.pdf</t>
  </si>
  <si>
    <t>Climate Change Regulation 2019</t>
  </si>
  <si>
    <t>Jordan</t>
  </si>
  <si>
    <t>JOR</t>
  </si>
  <si>
    <t>Arabic</t>
  </si>
  <si>
    <t>http://extwprlegs1.fao.org/docs/pdf/jor193638.pdf|ar</t>
  </si>
  <si>
    <t>http://extwprlegs1.fao.org/docs/pdf/jor193638.pdf</t>
  </si>
  <si>
    <t xml:space="preserve">Environmental Protection Law of 2017 </t>
  </si>
  <si>
    <t>http://extwprlegs1.fao.org/docs/pdf/jor173241E.pdf|en</t>
  </si>
  <si>
    <t>http://extwprlegs1.fao.org/docs/pdf/jor173241E.pdf</t>
  </si>
  <si>
    <t>CONCEPT for transition of the Republic of Kazakhstan to Green Economy</t>
  </si>
  <si>
    <t>Kazakhstan</t>
  </si>
  <si>
    <t>KAZ</t>
  </si>
  <si>
    <t>https://policy.asiapacificenergy.org/sites/default/files/Concept%20on%20Transition%20towards%20Green%20Economy%20until%202050%20%28EN%29.pdf|en</t>
  </si>
  <si>
    <t>https://policy.asiapacificenergy.org/sites/default/files/Concept%20on%20Transition%20towards%20Green%20Economy%20until%202050%20%28EN%29.pdf</t>
  </si>
  <si>
    <t>КОНЦЕПЦИЯ по переходу Республики Казахстан к «зеленой экономике»</t>
  </si>
  <si>
    <t>Russian</t>
  </si>
  <si>
    <t>https://policy.asiapacificenergy.org/sites/default/files/Concept%20on%20Transition%20towards%20Green%20Economy%20until%202050%20%28RU%29.pdf|ru</t>
  </si>
  <si>
    <t>https://policy.asiapacificenergy.org/sites/default/files/Concept%20on%20Transition%20towards%20Green%20Economy%20until%202050%20%28RU%29.pdf</t>
  </si>
  <si>
    <t xml:space="preserve">Постановление О развитии ветроэнергетики </t>
  </si>
  <si>
    <t>https://climate-laws.org/rails/active_storage/blobs/eyJfcmFpbHMiOnsibWVzc2FnZSI6IkJBaHBBaUVLIiwiZXhwIjpudWxsLCJwdXIiOiJibG9iX2lkIn19--42e4b375c84588de16d638a5b834e5ba5ff7d379/f|</t>
  </si>
  <si>
    <t>https://climate-laws.org/rails/active_storage/blobs/eyJfcmFpbHMiOnsibWVzc2FnZSI6IkJBaHBBaUVLIiwiZXhwIjpudWxsLCJwdXIiOiJibG9iX2lkIn19--42e4b375c84588de16d638a5b834e5ba5ff7d379/f</t>
  </si>
  <si>
    <t>Decree on the development of wind energy</t>
  </si>
  <si>
    <t>https://climate-laws.org/rails/active_storage/blobs/eyJfcmFpbHMiOnsibWVzc2FnZSI6IkJBaHBBaUlLIiwiZXhwIjpudWxsLCJwdXIiOiJibG9iX2lkIn19--cb5cb33598af6efbbc2da98e064f2726d88810d7/f|</t>
  </si>
  <si>
    <t>https://climate-laws.org/rails/active_storage/blobs/eyJfcmFpbHMiOnsibWVzc2FnZSI6IkJBaHBBaUlLIiwiZXhwIjpudWxsLCJwdXIiOiJibG9iX2lkIn19--cb5cb33598af6efbbc2da98e064f2726d88810d7/f</t>
  </si>
  <si>
    <t>https://climate-laws.org/rails/active_storage/blobs/eyJfcmFpbHMiOnsibWVzc2FnZSI6IkJBaHBBZzBJIiwiZXhwIjpudWxsLCJwdXIiOiJibG9iX2lkIn19--994042091b9017de34ce46af1f703b7d004e001a/f|ru</t>
  </si>
  <si>
    <t>https://climate-laws.org/rails/active_storage/blobs/eyJfcmFpbHMiOnsibWVzc2FnZSI6IkJBaHBBZzBJIiwiZXhwIjpudWxsLCJwdXIiOiJibG9iX2lkIn19--994042091b9017de34ce46af1f703b7d004e001a/f</t>
  </si>
  <si>
    <t>«О внесении изменений и дополнений в некоторые законодательные акты Республики Казахстан по вопросам перехода Республики Казахстан к «зеленой экономике».</t>
  </si>
  <si>
    <t>Revisions and additions to some legislative acts of the Republic of Kazakhstan on the issues of the transition towards a green economy</t>
  </si>
  <si>
    <t>https://climate-laws.org/rails/active_storage/blobs/eyJfcmFpbHMiOnsibWVzc2FnZSI6IkJBaHBBdGtLIiwiZXhwIjpudWxsLCJwdXIiOiJibG9iX2lkIn19--b09f1fcfde7e800a14e90b8aec16c96674564af0/2031_draft%20law.pdf|ru</t>
  </si>
  <si>
    <t>https://climate-laws.org/rails/active_storage/blobs/eyJfcmFpbHMiOnsibWVzc2FnZSI6IkJBaHBBdGtLIiwiZXhwIjpudWxsLCJwdXIiOiJibG9iX2lkIn19--b09f1fcfde7e800a14e90b8aec16c96674564af0/2031_draft%20law.pdf</t>
  </si>
  <si>
    <t>National Climate Change Response Strategy</t>
  </si>
  <si>
    <t>Kenya</t>
  </si>
  <si>
    <t>KEN</t>
  </si>
  <si>
    <t>https://climate-laws.org/rails/active_storage/blobs/eyJfcmFpbHMiOnsibWVzc2FnZSI6IkJBaHBBZ2NHIiwiZXhwIjpudWxsLCJwdXIiOiJibG9iX2lkIn19--04d25dc2dbdced0caa7183982a16bc76536942a1/f|</t>
  </si>
  <si>
    <t>https://climate-laws.org/rails/active_storage/blobs/eyJfcmFpbHMiOnsibWVzc2FnZSI6IkJBaHBBZ2NHIiwiZXhwIjpudWxsLCJwdXIiOiJibG9iX2lkIn19--04d25dc2dbdced0caa7183982a16bc76536942a1/f</t>
  </si>
  <si>
    <t>National Climate Change Action Plan 2013 -2017</t>
  </si>
  <si>
    <t>Action Plan</t>
  </si>
  <si>
    <t>https://climate-laws.org/rails/active_storage/blobs/eyJfcmFpbHMiOnsibWVzc2FnZSI6IkJBaHBBZ2dHIiwiZXhwIjpudWxsLCJwdXIiOiJibG9iX2lkIn19--8732cad6e7c37371e3fcebade6a08ab33c89ad31/f|</t>
  </si>
  <si>
    <t>https://climate-laws.org/rails/active_storage/blobs/eyJfcmFpbHMiOnsibWVzc2FnZSI6IkJBaHBBZ2dHIiwiZXhwIjpudWxsLCJwdXIiOiJibG9iX2lkIn19--8732cad6e7c37371e3fcebade6a08ab33c89ad31/f</t>
  </si>
  <si>
    <t>Agriculture (Farm Forestry) Rules 2009</t>
  </si>
  <si>
    <t>Rules</t>
  </si>
  <si>
    <t>http://www.lse.ac.uk/GranthamInstitute/wp-content/uploads/2017/12/Farm-Forestry-RulesKenya.pdf|en</t>
  </si>
  <si>
    <t>http://www.lse.ac.uk/GranthamInstitute/wp-content/uploads/2017/12/Farm-Forestry-RulesKenya.pdf</t>
  </si>
  <si>
    <t>THE FORESTS (PARTICIPATION IN SUSTAINABLE FOREST MANAGEMENT) RULES, 2009 - Legal Notice</t>
  </si>
  <si>
    <t>http://kenyalaw.org/kl/index.php?id=701|en</t>
  </si>
  <si>
    <t>http://kenyalaw.org/kl/index.php?id=701</t>
  </si>
  <si>
    <t>https://climate-laws.org/rails/active_storage/blobs/eyJfcmFpbHMiOnsibWVzc2FnZSI6IkJBaHBBbXdKIiwiZXhwIjpudWxsLCJwdXIiOiJibG9iX2lkIn19--a8aa9eab5fce33ebaf0dadf9fd71d450c7b7f56b/f|</t>
  </si>
  <si>
    <t>https://climate-laws.org/rails/active_storage/blobs/eyJfcmFpbHMiOnsibWVzc2FnZSI6IkJBaHBBbXdKIiwiZXhwIjpudWxsLCJwdXIiOiJibG9iX2lkIn19--a8aa9eab5fce33ebaf0dadf9fd71d450c7b7f56b/f</t>
  </si>
  <si>
    <t>THE ENERGY (SOLAR WATER HEATING) REGULATIONS, 2012</t>
  </si>
  <si>
    <t>https://climate-laws.org/rails/active_storage/blobs/eyJfcmFpbHMiOnsibWVzc2FnZSI6IkJBaHBBbTBKIiwiZXhwIjpudWxsLCJwdXIiOiJibG9iX2lkIn19--1569c7650f302ad8e90897461ee714b75274f772/f|</t>
  </si>
  <si>
    <t>https://climate-laws.org/rails/active_storage/blobs/eyJfcmFpbHMiOnsibWVzc2FnZSI6IkJBaHBBbTBKIiwiZXhwIjpudWxsLCJwdXIiOiJibG9iX2lkIn19--1569c7650f302ad8e90897461ee714b75274f772/f</t>
  </si>
  <si>
    <t>National Climate Change Action Plan (NCCAP) 2018-2022: Volume 1</t>
  </si>
  <si>
    <t>https://climate-laws.org/rails/active_storage/blobs/eyJfcmFpbHMiOnsibWVzc2FnZSI6IkJBaHBBc2dGIiwiZXhwIjpudWxsLCJwdXIiOiJibG9iX2lkIn19--5ec3b6e8b2662f7902579f2012a999b8924d89ab/f|</t>
  </si>
  <si>
    <t>https://climate-laws.org/rails/active_storage/blobs/eyJfcmFpbHMiOnsibWVzc2FnZSI6IkJBaHBBc2dGIiwiZXhwIjpudWxsLCJwdXIiOiJibG9iX2lkIn19--5ec3b6e8b2662f7902579f2012a999b8924d89ab/f</t>
  </si>
  <si>
    <t>NATIONAL CLIMATE CHANGE ACTION PLAN 2018-2022 Volume I</t>
  </si>
  <si>
    <t>https://climate-laws.org/rails/active_storage/blobs/eyJfcmFpbHMiOnsibWVzc2FnZSI6IkJBaHBBc2tGIiwiZXhwIjpudWxsLCJwdXIiOiJibG9iX2lkIn19--6d125abfc1fd6c1e405fb372b78df58b1943ecc1/f|</t>
  </si>
  <si>
    <t>https://climate-laws.org/rails/active_storage/blobs/eyJfcmFpbHMiOnsibWVzc2FnZSI6IkJBaHBBc2tGIiwiZXhwIjpudWxsLCJwdXIiOiJibG9iX2lkIn19--6d125abfc1fd6c1e405fb372b78df58b1943ecc1/f</t>
  </si>
  <si>
    <t>NATIONAL CLIMATE CHANGE ACTION PLAN
2018-2022 Volume 3: Mitigation Technical Analysis Report</t>
  </si>
  <si>
    <t>https://climate-laws.org/rails/active_storage/blobs/eyJfcmFpbHMiOnsibWVzc2FnZSI6IkJBaHBBc29GIiwiZXhwIjpudWxsLCJwdXIiOiJibG9iX2lkIn19--2ad0423967edb71b1ce803ee312fb59f3c53a710/f|</t>
  </si>
  <si>
    <t>https://climate-laws.org/rails/active_storage/blobs/eyJfcmFpbHMiOnsibWVzc2FnZSI6IkJBaHBBc29GIiwiZXhwIjpudWxsLCJwdXIiOiJibG9iX2lkIn19--2ad0423967edb71b1ce803ee312fb59f3c53a710/f</t>
  </si>
  <si>
    <t>THE ENVIRONMENTAL MANAGEMENT AND CO-ORDINATION ACT, 1999</t>
  </si>
  <si>
    <t>http://extwprlegs1.fao.org/docs/pdf/ken41653.pdf|en</t>
  </si>
  <si>
    <t>http://extwprlegs1.fao.org/docs/pdf/ken41653.pdf</t>
  </si>
  <si>
    <t>The Environmental Management and Coordination (Amendment) Act, 2015</t>
  </si>
  <si>
    <t>https://www.nema.go.ke/images/Docs/Legislation%20and%20Policies/EMCA%20Act%202015.pdf|en</t>
  </si>
  <si>
    <t>https://www.nema.go.ke/images/Docs/Legislation%20and%20Policies/EMCA%20Act%202015.pdf</t>
  </si>
  <si>
    <t>KIRIBATI JOINT IMPLEMENTATION PLAN for Climate Change and Disaster Risk Management (KJIP) 2014-2023</t>
  </si>
  <si>
    <t>Kiribati</t>
  </si>
  <si>
    <t>KIR</t>
  </si>
  <si>
    <t>https://climate-laws.org/rails/active_storage/blobs/eyJfcmFpbHMiOnsibWVzc2FnZSI6IkJBaHBBam9IIiwiZXhwIjpudWxsLCJwdXIiOiJibG9iX2lkIn19--d7ffac1366f335e377052eeee88a55ba63a8d952/f|en</t>
  </si>
  <si>
    <t>https://climate-laws.org/rails/active_storage/blobs/eyJfcmFpbHMiOnsibWVzc2FnZSI6IkJBaHBBam9IIiwiZXhwIjpudWxsLCJwdXIiOiJibG9iX2lkIn19--d7ffac1366f335e377052eeee88a55ba63a8d952/f</t>
  </si>
  <si>
    <t>KIRIBATI JOINT IMPLEMENTATION PLAN for Climate Change and Disaster Risk Management (KJIP) 2019-2028</t>
  </si>
  <si>
    <t>https://climate-laws.org/rails/active_storage/blobs/eyJfcmFpbHMiOnsibWVzc2FnZSI6IkJBaHBBc2tNIiwiZXhwIjpudWxsLCJwdXIiOiJibG9iX2lkIn19--11c3efb7f290627c67fd2bd9a9ff8377acbf03cf/2019%20Kiribati-Joint-Implementation-Plan-for-Climate-Change-and-Disaster-Risk-Management-2019-2028.pdf|en</t>
  </si>
  <si>
    <t>https://climate-laws.org/rails/active_storage/blobs/eyJfcmFpbHMiOnsibWVzc2FnZSI6IkJBaHBBc2tNIiwiZXhwIjpudWxsLCJwdXIiOiJibG9iX2lkIn19--11c3efb7f290627c67fd2bd9a9ff8377acbf03cf/2019%20Kiribati-Joint-Implementation-Plan-for-Climate-Change-and-Disaster-Risk-Management-2019-2028.pdf</t>
  </si>
  <si>
    <t>National Water Resources Policy</t>
  </si>
  <si>
    <t>Policy</t>
  </si>
  <si>
    <t>https://climate-laws.org/rails/active_storage/blobs/eyJfcmFpbHMiOnsibWVzc2FnZSI6IkJBaHBBcWdGIiwiZXhwIjpudWxsLCJwdXIiOiJibG9iX2lkIn19--8d01c59770e4d8cd2567ffd9bbd63a766f7680ff/f|</t>
  </si>
  <si>
    <t>https://climate-laws.org/rails/active_storage/blobs/eyJfcmFpbHMiOnsibWVzc2FnZSI6IkJBaHBBcWdGIiwiZXhwIjpudWxsLCJwdXIiOiJibG9iX2lkIn19--8d01c59770e4d8cd2567ffd9bbd63a766f7680ff/f</t>
  </si>
  <si>
    <t>National Water Resources Implementation Plan</t>
  </si>
  <si>
    <t>https://climate-laws.org/rails/active_storage/blobs/eyJfcmFpbHMiOnsibWVzc2FnZSI6IkJBaHBBcWtGIiwiZXhwIjpudWxsLCJwdXIiOiJibG9iX2lkIn19--b0567f15298dffb910c24d222b83d49b48fa82a2/f|</t>
  </si>
  <si>
    <t>https://climate-laws.org/rails/active_storage/blobs/eyJfcmFpbHMiOnsibWVzc2FnZSI6IkJBaHBBcWtGIiwiZXhwIjpudWxsLCJwdXIiOiJibG9iX2lkIn19--b0567f15298dffb910c24d222b83d49b48fa82a2/f</t>
  </si>
  <si>
    <t>Strategjia Kornizë për Ndryshimet Klimatike për Kosovën</t>
  </si>
  <si>
    <t>Kosovo</t>
  </si>
  <si>
    <t>XKX</t>
  </si>
  <si>
    <t>Albanian</t>
  </si>
  <si>
    <t>https://climate-laws.org/rails/active_storage/blobs/eyJfcmFpbHMiOnsibWVzc2FnZSI6IkJBaHBBaVlHIiwiZXhwIjpudWxsLCJwdXIiOiJibG9iX2lkIn19--4393f98469f47dfb78d60c84e948c0402f0537ff/f|</t>
  </si>
  <si>
    <t>https://climate-laws.org/rails/active_storage/blobs/eyJfcmFpbHMiOnsibWVzc2FnZSI6IkJBaHBBaVlHIiwiZXhwIjpudWxsLCJwdXIiOiJibG9iX2lkIn19--4393f98469f47dfb78d60c84e948c0402f0537ff/f</t>
  </si>
  <si>
    <t>Strategji për Ndryshimet Klimatike (SNK) 2014-2024</t>
  </si>
  <si>
    <t>https://climate-laws.org/rails/active_storage/blobs/eyJfcmFpbHMiOnsibWVzc2FnZSI6IkJBaHBBaWNHIiwiZXhwIjpudWxsLCJwdXIiOiJibG9iX2lkIn19--c4939ccd525a2433cac9b1959ce3074c877e39f1/f|</t>
  </si>
  <si>
    <t>https://climate-laws.org/rails/active_storage/blobs/eyJfcmFpbHMiOnsibWVzc2FnZSI6IkJBaHBBaWNHIiwiZXhwIjpudWxsLCJwdXIiOiJibG9iX2lkIn19--c4939ccd525a2433cac9b1959ce3074c877e39f1/f</t>
  </si>
  <si>
    <t>Type</t>
  </si>
  <si>
    <t>Frameworks</t>
  </si>
  <si>
    <t>Responses</t>
  </si>
  <si>
    <t>Instruments</t>
  </si>
  <si>
    <t>Document Types</t>
  </si>
  <si>
    <t>Natural Hazards</t>
  </si>
  <si>
    <t>Keywords</t>
  </si>
  <si>
    <t>Sectors</t>
  </si>
  <si>
    <t>Events</t>
  </si>
  <si>
    <t>Presidential Instruction 5/2019 on extension of the forest moratorium</t>
  </si>
  <si>
    <t>executive</t>
  </si>
  <si>
    <t>Adaptation;Mitigation</t>
  </si>
  <si>
    <t>Processes, plans and strategies|Governance</t>
  </si>
  <si>
    <t>Decree/Order/Ordinance</t>
  </si>
  <si>
    <t>Redd+ And Lulucf;Forest;Moratorium</t>
  </si>
  <si>
    <t>LULUCF;Residential and Commercial</t>
  </si>
  <si>
    <t>25/12/2011|Presidential instruction issued||;25/12/2013|Moratorium extended||;07/08/2019|Moratorium extended||</t>
  </si>
  <si>
    <t>Full text Presidential Instruction 6/2013|https://climate-laws.org/rails/active_storage/blobs/eyJfcmFpbHMiOnsibWVzc2FnZSI6IkJBaHBBaUVHIiwiZXhwIjpudWxsLCJwdXIiOiJibG9iX2lkIn19--2edc173ca6e688a1d121c90f6282721aca9b0ca7/f|id;Full text Presidential Instruction 6/2013 - English|https://climate-laws.org/rails/active_storage/blobs/eyJfcmFpbHMiOnsibWVzc2FnZSI6IkJBaHBBaUlHIiwiZXhwIjpudWxsLCJwdXIiOiJibG9iX2lkIn19--8c435aa888628a4bbbef25307cab8c50b5be954a/f|en;Full text Presidential Instruction 10/2011|https://storage.googleapis.com/cclow-staging/6nxfhn9dfeqs7xg3nt1ox4inilxk?GoogleAccessId=laws-and-pathways-staging%40soy-truth-247515.iam.gserviceaccount.com&amp;Expires=1624617321&amp;Signature=VJvJDwBkdiU2CsJO3c7L0e9R7SnCNiDLRLYDJyac1XTIDeOE2wVrKydK6XRa8Gf8ADf4rYkJqn3NrSmfIeiNF2yRR%2FXWUVRgUcLtPugpoVLAHHJ9u17g7qiuux1SlWVKgKPJIosOML2KnS9yN5a3K2azeGPSZvckE1fIG7%2BQfhYfwm2T09J%2FyiRJE%2BSTITSnKrvhztOyzGefIoTcjOHg%2FIl%2FuaPz7%2F3Z6%2B1B1kPjjTHDCv4um10KUxxTCpfwOySwMExRm61N2ksIwfP%2BNr7vy12%2FoQ7TkiHsG%2FARlIClEM0dwk%2BNTu%2BameDkCI9dQjxB3AAmxjwTyzyBfJDeHwrcIw%3D%3D&amp;response-content-disposition=inline%3B+filename%3D%22f%22%3B+filename%2A%3DUTF-8%27%27f&amp;response-content-type=application%2Fpdf|en;Full text Presidential Instruction 5/2019|https://climate-laws.org/rails/active_storage/blobs/eyJfcmFpbHMiOnsibWVzc2FnZSI6IkJBaHBBaDhPIiwiZXhwIjpudWxsLCJwdXIiOiJibG9iX2lkIn19--b416447775144e2484a1d7f04e95f21ec6de92bb/Indonesia%20InPres%205-2019.pdf|id</t>
  </si>
  <si>
    <t>Regulations 12/2017, 50/2017, 35/2018 4/2020 on the utilisation of Renewable Energy for the Provision of Power</t>
  </si>
  <si>
    <t>Mitigation</t>
  </si>
  <si>
    <t>Subsidies|Economic</t>
  </si>
  <si>
    <t>Regulation/Rules</t>
  </si>
  <si>
    <t>Energy Supply;Fit</t>
  </si>
  <si>
    <t>Energy;Waste</t>
  </si>
  <si>
    <t>30/01/2017|Regulation 12/2017 issued||;25/12/2017|Regulation issued||;28/02/2020|Amended||</t>
  </si>
  <si>
    <t>Full text|https://climate-laws.org/rails/active_storage/blobs/eyJfcmFpbHMiOnsibWVzc2FnZSI6IkJBaHBBcVlKIiwiZXhwIjpudWxsLCJwdXIiOiJibG9iX2lkIn19--f78211846fbe5abf1f736bcd4c5d442504b678c7/f|;Full text of regulation 12/2017|https://climate-laws.org/rails/active_storage/blobs/eyJfcmFpbHMiOnsibWVzc2FnZSI6IkJBaHBBcDBNIiwiZXhwIjpudWxsLCJwdXIiOiJibG9iX2lkIn19--02da595824a5e8cab34c045dfacb2fd61694f2e6/2017%20MOEMR%2012%20of%202017_Renewable%20Energy%20Sources%20for%20Electricity%20Supply.pdf|id</t>
  </si>
  <si>
    <t>Law 31/2009 on Meteorology, Climatology and Geophysics</t>
  </si>
  <si>
    <t>legislative</t>
  </si>
  <si>
    <t>Adaptation</t>
  </si>
  <si>
    <t>Standards, obligations and norms|Regulation;Capacity building|Governance;Processes, plans and strategies|Governance;Education, training and knowledge dissemination|Information</t>
  </si>
  <si>
    <t>Law;Act</t>
  </si>
  <si>
    <t>Environment;Other</t>
  </si>
  <si>
    <t>01/01/2009|Passed||</t>
  </si>
  <si>
    <t>Full text (PDF)|https://climate-laws.org/rails/active_storage/blobs/eyJfcmFpbHMiOnsibWVzc2FnZSI6IkJBaHBBcGdNIiwiZXhwIjpudWxsLCJwdXIiOiJibG9iX2lkIn19--22b9b9cd9b24af29b845def0155eb89abca719c4/2009%20UU%20No.%2031%20of%202009%20Meterology%20Climatology%20and%20Geophysics.pdf|id;Full text (WORD)|https://climate-laws.org/rails/active_storage/blobs/eyJfcmFpbHMiOnsibWVzc2FnZSI6IkJBaHBBcGtNIiwiZXhwIjpudWxsLCJwdXIiOiJibG9iX2lkIn19--01b23da345beb2a7d2d8e65f98fb59e167a1d6da/2009%20Act%2031%20of%202009_Meterology%20and%20Climate%20Law.docx|en</t>
  </si>
  <si>
    <t>Regulation No.79 on National Energy Policy 2014</t>
  </si>
  <si>
    <t>Subsidies|Economic;Capacity building|Governance;Research &amp; Development, knowledge generation|Information</t>
  </si>
  <si>
    <t>Industry;Renewables;Transport;Subsidies;Agriculture;Energy</t>
  </si>
  <si>
    <t>Energy;Transportation</t>
  </si>
  <si>
    <t>01/01/2014|Approved||</t>
  </si>
  <si>
    <t>Translated version (PDF)|https://climate-laws.org/rails/active_storage/blobs/eyJfcmFpbHMiOnsibWVzc2FnZSI6IkJBaHBBcUFNIiwiZXhwIjpudWxsLCJwdXIiOiJibG9iX2lkIn19--915154b97b127e2e63d6ffae0386002015da9166/2014%20PP%20No%2079%20of%202014%20National%20Energy%20Policy_EN.pdf|en;Full text (PDF)|https://climate-laws.org/rails/active_storage/blobs/eyJfcmFpbHMiOnsibWVzc2FnZSI6IkJBaHBBcUVNIiwiZXhwIjpudWxsLCJwdXIiOiJibG9iX2lkIn19--50957a9fe0c1d2302c65581e3f8c77e8024daa9b/2014%20PP%20No%2079%20of%202014%20National%20Energy%20Policy.pdf|id</t>
  </si>
  <si>
    <t>Regulations No.11/2013 and No.36/2009 about procedures for Licensing Activities for Absorbing and Restoring Carbon in Forests</t>
  </si>
  <si>
    <t>Standards, obligations and norms|Regulation;Nature based solutions and ecosystem restoration|Direct Investment;Processes, plans and strategies|Governance</t>
  </si>
  <si>
    <t>Forest;Carbon Sink</t>
  </si>
  <si>
    <t>LULUCF</t>
  </si>
  <si>
    <t>01/01/2009|Approved||;01/01/2013|Approved||</t>
  </si>
  <si>
    <t>Full text (PDF)|https://climate-laws.org/rails/active_storage/blobs/eyJfcmFpbHMiOnsibWVzc2FnZSI6IkJBaHBBcVVNIiwiZXhwIjpudWxsLCJwdXIiOiJibG9iX2lkIn19--599940d02177643b716d92efed4cac712c803d26/2009%20MOF%20Reg%2036%20of%202009%20Permitting%20for%20Using%20Carbon%20Sinks%20and%20Reservoirs%20in%20Forests.pdf|id;Full text (PDF)|https://climate-laws.org/rails/active_storage/blobs/eyJfcmFpbHMiOnsibWVzc2FnZSI6IkJBaHBBcVlNIiwiZXhwIjpudWxsLCJwdXIiOiJibG9iX2lkIn19--11c816f5112de05403904b8a66e47b7e6398bd0a/2013%20MOF%20Reg%2011%20of%202013_Amending%2036%20Menhut%20II%20of%202009%20on%20Procedures%20for%20Licensing%20Activities%20for%20Absorbing%20and%20Restoring%20Carbon%20in%20Forests.pdf|id</t>
  </si>
  <si>
    <t>Government Regulation 57/2016, amending regulation 71/2014 concerning protection and management of peat ecosystems</t>
  </si>
  <si>
    <t>Standards, obligations and norms|Regulation</t>
  </si>
  <si>
    <t>Peat;Land Use</t>
  </si>
  <si>
    <t>05/12/2016|Law passed||</t>
  </si>
  <si>
    <t>Unofficial text of Regulation 57/2016|https://climate-laws.org/rails/active_storage/blobs/eyJfcmFpbHMiOnsibWVzc2FnZSI6IkJBaHBBaUFPIiwiZXhwIjpudWxsLCJwdXIiOiJibG9iX2lkIn19--22b157433d8ed537b49102923fd06d7962c8af6b/PP_NO_57_2016.pdf|id;Full text Regulation 71/2014|http://extwprlegs1.fao.org/docs/pdf/ins174375.pdf|</t>
  </si>
  <si>
    <t>Finance Act 1992 - as amended by Finance Act (No. 1) of 2013</t>
  </si>
  <si>
    <t>Tax incentives|Economic</t>
  </si>
  <si>
    <t>Energy Demand;Transportation</t>
  </si>
  <si>
    <t>Transportation</t>
  </si>
  <si>
    <t>01/01/2013|Law passed</t>
  </si>
  <si>
    <t>Full text|https://climate-laws.org/rails/active_storage/blobs/eyJfcmFpbHMiOnsibWVzc2FnZSI6IkJBaHBBcmdKIiwiZXhwIjpudWxsLCJwdXIiOiJibG9iX2lkIn19--f1ce557eda2800a1938586774476d0d66fa62738/f|;Full text - part 2|https://climate-laws.org/rails/active_storage/blobs/eyJfcmFpbHMiOnsibWVzc2FnZSI6IkJBaHBBcmtKIiwiZXhwIjpudWxsLCJwdXIiOiJibG9iX2lkIn19--585ddf140054ff02b151a2d1926d42f681c63926/f|</t>
  </si>
  <si>
    <t>Motor Vehicle (Duties and Licences) Act, no 22/2001 and no 9/2013</t>
  </si>
  <si>
    <t>03/07/2001|Law passed||;25/12/2013|Last amendment||</t>
  </si>
  <si>
    <t>Full text|https://climate-laws.org/rails/active_storage/blobs/eyJfcmFpbHMiOnsibWVzc2FnZSI6IkJBaHBBcThKIiwiZXhwIjpudWxsLCJwdXIiOiJibG9iX2lkIn19--9485b8d424b12937a352f5e578fe495b2d6677c5/f|;Full text|https://climate-laws.org/rails/active_storage/blobs/eyJfcmFpbHMiOnsibWVzc2FnZSI6IkJBaHBBckFKIiwiZXhwIjpudWxsLCJwdXIiOiJibG9iX2lkIn19--80abb78ec26543cc701d9b3fa937ebac2ae01102/f|</t>
  </si>
  <si>
    <t>Processes, plans and strategies|Governance;MRV|Governance</t>
  </si>
  <si>
    <t>Adaptation;Institutions / Administrative Arrangements;Just Transition;Ban;Fossil Fuels Curbing Measures;Climate Justice</t>
  </si>
  <si>
    <t>Economy-wide;Transportation</t>
  </si>
  <si>
    <t>10/12/2015|Law passed||;23/07/2021|Amendment approved||</t>
  </si>
  <si>
    <t>Full text (PDF)|https://climate-laws.org/rails/active_storage/blobs/eyJfcmFpbHMiOnsibWVzc2FnZSI6IkJBaHBBbklJIiwiZXhwIjpudWxsLCJwdXIiOiJibG9iX2lkIn19--f3e6a5e3d4af92a4808ca26dc589af91a7035913/f|en;Link to full text of 2021 amendment|https://data.oireachtas.ie/ie/oireachtas/bill/2021/39/eng/ver_b/b39b21d.pdf|en;Press release with detailed explanation of the 2021 amendment|https://www.gov.ie/en/press-release/22e97-government-approves-landmark-climate-bill-putting-ireland-on-the-path-to-net-zero-emissions-by-2050/|en</t>
  </si>
  <si>
    <t>Petroleum and Other Minerals Development (Prohibition of Onshore Hydraulic Fracturing) Act 15/2017</t>
  </si>
  <si>
    <t>Ban;Fossil Fuels Curbing Measures</t>
  </si>
  <si>
    <t>Energy</t>
  </si>
  <si>
    <t>06/07/2017|Approved||</t>
  </si>
  <si>
    <t>Link to full text (PDF)|https://data.oireachtas.ie/ie/oireachtas/act/2017/15/eng/enacted/a1517.pdf|en;Link to explanatory memorandum|https://data.oireachtas.ie/ie/oireachtas/bill/2016/37/eng/memo/b3716d-memo.pdf|en</t>
  </si>
  <si>
    <t>Energy Sources Regulations - The Energy Sources Regulations (Minimal Energetic Efficiency for Indoor Light Bulb)</t>
  </si>
  <si>
    <t>Energy Demand</t>
  </si>
  <si>
    <t>08/02/2012|Law passed</t>
  </si>
  <si>
    <t>Full text|https://climate-laws.org/rails/active_storage/blobs/eyJfcmFpbHMiOnsibWVzc2FnZSI6IkJBaHBBcFlIIiwiZXhwIjpudWxsLCJwdXIiOiJibG9iX2lkIn19--8aecd62a71720e9989d4e5d2e6b67241ef6d32ee/f|;English translation|https://climate-laws.org/rails/active_storage/blobs/eyJfcmFpbHMiOnsibWVzc2FnZSI6IkJBaHBBcGNIIiwiZXhwIjpudWxsLCJwdXIiOiJibG9iX2lkIn19--0938ffa12f0b0907029e75d8c48cd84f39835a3d/f|</t>
  </si>
  <si>
    <t>Energy Resources Regulations (Energy Efficiency and Energy Information of Cooling Appliances), 2004</t>
  </si>
  <si>
    <t>01/01/2004|Law passed</t>
  </si>
  <si>
    <t>Full text|https://climate-laws.org/rails/active_storage/blobs/eyJfcmFpbHMiOnsibWVzc2FnZSI6IkJBaHBBa0lIIiwiZXhwIjpudWxsLCJwdXIiOiJibG9iX2lkIn19--aea931e1ef6c897ecefb949d76bbc1b04c49a7b1/f|;English translation|https://climate-laws.org/rails/active_storage/blobs/eyJfcmFpbHMiOnsibWVzc2FnZSI6IkJBaHBBa01IIiwiZXhwIjpudWxsLCJwdXIiOiJibG9iX2lkIn19--380d6419d25123f3f72c1d6fdd39e811c603c059/f|</t>
  </si>
  <si>
    <t>Energy Resources Regulations (Energy Efficiency of Electrical Induction Motors) 2004</t>
  </si>
  <si>
    <t>25/12/2004|Law passed</t>
  </si>
  <si>
    <t>Full text|https://climate-laws.org/rails/active_storage/blobs/eyJfcmFpbHMiOnsibWVzc2FnZSI6IkJBaHBBdmtHIiwiZXhwIjpudWxsLCJwdXIiOiJibG9iX2lkIn19--947433082dd396fab7a833d2638c6de9bc3c4595/f|;English translation|https://climate-laws.org/rails/active_storage/blobs/eyJfcmFpbHMiOnsibWVzc2FnZSI6IkJBaHBBdm9HIiwiZXhwIjpudWxsLCJwdXIiOiJibG9iX2lkIn19--a02711ddef3cd8c93aacc504e8d07a2d60e64e9d/f|</t>
  </si>
  <si>
    <t>Energy Resources Regulations (Performing a Study to Find a Potential to Energy Conservation) 1993</t>
  </si>
  <si>
    <t>Standards, obligations and norms|Regulation;MRV|Governance</t>
  </si>
  <si>
    <t>25/12/1993|Law passed</t>
  </si>
  <si>
    <t>Full text|https://climate-laws.org/rails/active_storage/blobs/eyJfcmFpbHMiOnsibWVzc2FnZSI6IkJBaHBBcFVHIiwiZXhwIjpudWxsLCJwdXIiOiJibG9iX2lkIn19--3fc26241b219863fc669c21ee2c8a1fea04da755/f|;English translation|https://climate-laws.org/rails/active_storage/blobs/eyJfcmFpbHMiOnsibWVzc2FnZSI6IkJBaHBBcFlHIiwiZXhwIjpudWxsLCJwdXIiOiJibG9iX2lkIn19--b62e6de121bf53bd7f7fb797658799e615e29aeb/f|</t>
  </si>
  <si>
    <t>The Energy Resources Act 1989</t>
  </si>
  <si>
    <t>31/12/1989|Law passed;14/03/2011|Last amendment</t>
  </si>
  <si>
    <t>Full text|https://climate-laws.org/rails/active_storage/blobs/eyJfcmFpbHMiOnsibWVzc2FnZSI6IkJBaHBBcUlKIiwiZXhwIjpudWxsLCJwdXIiOiJibG9iX2lkIn19--d1d737bbf56ee65d9f8c96b8894b8beade73e4de/f|;English translation|https://climate-laws.org/rails/active_storage/blobs/eyJfcmFpbHMiOnsibWVzc2FnZSI6IkJBaHBBcU1KIiwiZXhwIjpudWxsLCJwdXIiOiJibG9iX2lkIn19--aad80e3c9980331494782897e7f3bb4bc40af899/f|</t>
  </si>
  <si>
    <t>Government Decision 171/2021 "Transition to a Low Carbon Economy" amending Decision 542/2015</t>
  </si>
  <si>
    <t>Standards, obligations and norms|Regulation;Capacity building|Governance;Processes, plans and strategies|Governance;MRV|Governance</t>
  </si>
  <si>
    <t>Economy-wide</t>
  </si>
  <si>
    <t>25/12/2021|Approved||</t>
  </si>
  <si>
    <t>Link to full text on official website|https://www.gov.il/he/departments/policies/dec171_2021|he;Link to Decision 542/2015 on official website|https://www.gov.il/he/Departments/policies/2015_dec542|he</t>
  </si>
  <si>
    <t>National Waste Strategy</t>
  </si>
  <si>
    <t>Waste</t>
  </si>
  <si>
    <t>26/01/2021|Approved||</t>
  </si>
  <si>
    <t>Link to text|https://www.gov.il/he/departments/guides/waste_strategy_2030_circular_economy_2050|he;Link to explainer|https://www.gov.il/en/departments/news/ministry_unveils_new_waste_strategy_for_israel|en</t>
  </si>
  <si>
    <t>National Energy Strategy</t>
  </si>
  <si>
    <t>Processes, plans and strategies|Governance;Research &amp; Development, knowledge generation|Information</t>
  </si>
  <si>
    <t>Decree/Order/Ordinance;Strategy</t>
  </si>
  <si>
    <t>Institutions / Administrative Arrangements;Research And Development;Energy Supply;Energy Demand</t>
  </si>
  <si>
    <t>Energy;Industry;Residential and Commercial;Transportation</t>
  </si>
  <si>
    <t>08/03/2013|Law passed||;25/12/2017|Approved||</t>
  </si>
  <si>
    <t>Full text of 2013 version|https://climate-laws.org/rails/active_storage/blobs/eyJfcmFpbHMiOnsibWVzc2FnZSI6IkJBaHBBaE1HIiwiZXhwIjpudWxsLCJwdXIiOiJibG9iX2lkIn19--76ef762e995acedaa724541f478f6b4d776afd78/f|it;English translation of 2013 version|https://climate-laws.org/rails/active_storage/blobs/eyJfcmFpbHMiOnsibWVzc2FnZSI6IkJBaHBBaFFHIiwiZXhwIjpudWxsLCJwdXIiOiJibG9iX2lkIn19--9ea0c7985bd8e2cc31c27582a370ea3607064d40/f|en;Link to translated 2017 version|https://www.mise.gov.it/images/stories/documenti/BROCHURE_ENG_SEN.PDF|en</t>
  </si>
  <si>
    <t>Finance Law 2008 (Law No. 244 24/12/2007 and Law No. 222 29/11/2007); M.D. 18.12.08; Law 99/09)</t>
  </si>
  <si>
    <t>Tax incentives|Economic;Processes, plans and strategies|Governance</t>
  </si>
  <si>
    <t>Carbon Pricing;Energy Supply</t>
  </si>
  <si>
    <t>25/12/2008|Law passed</t>
  </si>
  <si>
    <t>Full text|https://climate-laws.org/rails/active_storage/blobs/eyJfcmFpbHMiOnsibWVzc2FnZSI6IkJBaHBBcFFKIiwiZXhwIjpudWxsLCJwdXIiOiJibG9iX2lkIn19--a5b7f702337546914460ef1ee5a1a1f8c6a35b20/f|;Full text - part 2|https://climate-laws.org/rails/active_storage/blobs/eyJfcmFpbHMiOnsibWVzc2FnZSI6IkJBaHBBcFVKIiwiZXhwIjpudWxsLCJwdXIiOiJibG9iX2lkIn19--314d091312cbbde98d6bc61530698d2831613baf/f|;Full text - part 3|https://climate-laws.org/rails/active_storage/blobs/eyJfcmFpbHMiOnsibWVzc2FnZSI6IkJBaHBBcFlKIiwiZXhwIjpudWxsLCJwdXIiOiJibG9iX2lkIn19--140826a8bd90bbb4a57dd167c045ef598e1665ae/f|;Full text - part 4|https://climate-laws.org/rails/active_storage/blobs/eyJfcmFpbHMiOnsibWVzc2FnZSI6IkJBaHBBcGNKIiwiZXhwIjpudWxsLCJwdXIiOiJibG9iX2lkIn19--de9434f66ab0c41e399263ad16a9a24420be4766/f|</t>
  </si>
  <si>
    <t>Finance Laws with particular climate measures</t>
  </si>
  <si>
    <t>Subsidies|Economic;Tax incentives|Economic;Provision of climate funds|Direct Investment;Capacity building|Governance;Processes, plans and strategies|Governance;Research &amp; Development, knowledge generation|Information</t>
  </si>
  <si>
    <t>Institutions / Administrative Arrangements;Carbon Pricing;Energy Supply;Energy Demand;Redd+ And Lulucf;Transportation;Fossil Fuels</t>
  </si>
  <si>
    <t>Energy;LULUCF;Residential and Commercial;Transportation</t>
  </si>
  <si>
    <t>25/12/2010|Law passed||;29/12/2017|Last amendment||</t>
  </si>
  <si>
    <t>Full text|https://climate-laws.org/rails/active_storage/blobs/eyJfcmFpbHMiOnsibWVzc2FnZSI6IkJBaHBBcEFKIiwiZXhwIjpudWxsLCJwdXIiOiJibG9iX2lkIn19--6444fbac6e2186afa7ae222e5fdfec3b44c183c2/f|;Full text|https://climate-laws.org/rails/active_storage/blobs/eyJfcmFpbHMiOnsibWVzc2FnZSI6IkJBaHBBcEVKIiwiZXhwIjpudWxsLCJwdXIiOiJibG9iX2lkIn19--478d9513507b4c7f6dc2d77439c4e7ccbadadf73/f|;Full text|https://climate-laws.org/rails/active_storage/blobs/eyJfcmFpbHMiOnsibWVzc2FnZSI6IkJBaHBBcElKIiwiZXhwIjpudWxsLCJwdXIiOiJibG9iX2lkIn19--90f61373a41b8248e2d853ceea643bdd92938c84/f|;Full text|https://climate-laws.org/rails/active_storage/blobs/eyJfcmFpbHMiOnsibWVzc2FnZSI6IkJBaHBBcE1KIiwiZXhwIjpudWxsLCJwdXIiOiJibG9iX2lkIn19--348567302c85bbf05e0ba58ccc3f03a8652937c3/f|</t>
  </si>
  <si>
    <t>New Feed-In premium for photovoltaic systems (Ministerial Decree)</t>
  </si>
  <si>
    <t>Energy Supply</t>
  </si>
  <si>
    <t>Energy;Residential and Commercial</t>
  </si>
  <si>
    <t>19/02/2007|Law passed</t>
  </si>
  <si>
    <t>Full text|https://climate-laws.org/rails/active_storage/blobs/eyJfcmFpbHMiOnsibWVzc2FnZSI6IkJBaHBBaVVLIiwiZXhwIjpudWxsLCJwdXIiOiJibG9iX2lkIn19--5b03af1eb044366f0a8fa0054d733fb700964b02/f|;Full text|https://climate-laws.org/rails/active_storage/blobs/eyJfcmFpbHMiOnsibWVzc2FnZSI6IkJBaHBBaVlLIiwiZXhwIjpudWxsLCJwdXIiOiJibG9iX2lkIn19--67120b128c2b437d31f2f00d0469c2d865867c90/f|</t>
  </si>
  <si>
    <t>Reorganisation of Energy Sector Regulation (Law no. 239)</t>
  </si>
  <si>
    <t>Institutions / Administrative Arrangements;Energy Demand</t>
  </si>
  <si>
    <t>23/08/2004|Law passed</t>
  </si>
  <si>
    <t>Full text|https://climate-laws.org/rails/active_storage/blobs/eyJfcmFpbHMiOnsibWVzc2FnZSI6IkJBaHBBb3NKIiwiZXhwIjpudWxsLCJwdXIiOiJibG9iX2lkIn19--24b5cda122f230d2fc608c9c26b17a58e2cd2f55/f|;Amendment|https://climate-laws.org/rails/active_storage/blobs/eyJfcmFpbHMiOnsibWVzc2FnZSI6IkJBaHBBb3dKIiwiZXhwIjpudWxsLCJwdXIiOiJibG9iX2lkIn19--4018ff58ad4b33b7825de52133128f41118f3a33/f|</t>
  </si>
  <si>
    <t>Inter-Ministerial Technical Committee for GHG emissions (CIPE resolution 123/2002)</t>
  </si>
  <si>
    <t>Institutional mandates|Governance;Processes, plans and strategies|Governance;MRV|Governance</t>
  </si>
  <si>
    <t>Institutions / Administrative Arrangements</t>
  </si>
  <si>
    <t>25/12/2002|Law passed</t>
  </si>
  <si>
    <t>Full text|https://climate-laws.org/rails/active_storage/blobs/eyJfcmFpbHMiOnsibWVzc2FnZSI6IkJBaHBBb2dKIiwiZXhwIjpudWxsLCJwdXIiOiJibG9iX2lkIn19--7448d8c08fa7a7850aa98f57b304fffa229eae33/f|;Full text|https://climate-laws.org/rails/active_storage/blobs/eyJfcmFpbHMiOnsibWVzc2FnZSI6IkJBaHBBb2tKIiwiZXhwIjpudWxsLCJwdXIiOiJibG9iX2lkIn19--5942f35d34df7711c1f3ad3a5d61570abcc66155/f|</t>
  </si>
  <si>
    <t>Climate Adaptation Strategy (Decree of the Ministry of Environment, Land and Sea 0000086/CLE)</t>
  </si>
  <si>
    <t>Processes, plans and strategies|Governance;MRV|Governance;Research &amp; Development, knowledge generation|Information</t>
  </si>
  <si>
    <t>Floods;Droughts;Landslides;Heat Waves And Heat Stress;Soil Erosion;Sea Level Rise;Glacial Melting</t>
  </si>
  <si>
    <t>Agriculture;Coastal zones;Energy;Environment;Health;LULUCF;Residential and Commercial;Tourism;Urban;Water</t>
  </si>
  <si>
    <t>16/06/2015|Law passed||</t>
  </si>
  <si>
    <t>Decree Approving Strategy - Full text|https://climate-laws.org/rails/active_storage/blobs/eyJfcmFpbHMiOnsibWVzc2FnZSI6IkJBaHBBZzhHIiwiZXhwIjpudWxsLCJwdXIiOiJibG9iX2lkIn19--3fe61301640bdf39f9d0ef20fd26e08b156569b8/f|;Strategy Document - Full text|https://www.mite.gov.it/sites/default/files/archivio/allegati/clima/documento_SNAC.pdf|</t>
  </si>
  <si>
    <t>RES Decree 2016 and RES Decree 2019-2021</t>
  </si>
  <si>
    <t>30/06/2016|Law passed;04/07/2019|Last amendment</t>
  </si>
  <si>
    <t>Full text (2016 decree)|https://climate-laws.org/rails/active_storage/blobs/eyJfcmFpbHMiOnsibWVzc2FnZSI6IkJBaHBBa1lKIiwiZXhwIjpudWxsLCJwdXIiOiJibG9iX2lkIn19--ccb30ea48221d8ecbd13f5f1fd9fb207b5d5e461/f|;Full text (2019 decree)|https://climate-laws.org/rails/active_storage/blobs/eyJfcmFpbHMiOnsibWVzc2FnZSI6IkJBaHBBa2NKIiwiZXhwIjpudWxsLCJwdXIiOiJibG9iX2lkIn19--48af347b549a936f225901dd900a7900d391def7/f|</t>
  </si>
  <si>
    <t>Decree-Law n. 34 of 19 May 2020 on urgent measures on health, support to work, the economy and social policies related to the epidemiological emergency from COVID-19</t>
  </si>
  <si>
    <t>Subsidies|Economic;Tax incentives|Economic;Education, training and knowledge dissemination|Information;Research &amp; Development, knowledge generation|Information</t>
  </si>
  <si>
    <t>Solar Panels;Covid19;Pv;Energy Efficiency;Ev;S Olar;Brt</t>
  </si>
  <si>
    <t>Buildings;Energy;Transportation</t>
  </si>
  <si>
    <t>12/05/2020|passed||;19/05/2020|Entry into force||;17/07/2020|amended||;11/11/2021|amended||</t>
  </si>
  <si>
    <t>Link to the press release|http://www.governo.it/it/articolo/comunicato-stampa-del-consiglio-dei-ministri-n-45/14602|it;Full text (PDF)|https://climate-laws.org/rails/active_storage/blobs/eyJfcmFpbHMiOnsibWVzc2FnZSI6IkJBaHBBZ2NNIiwiZXhwIjpudWxsLCJwdXIiOiJibG9iX2lkIn19--bccd50d38e831f32f0adb3b84d3c4e00718cb63c/20200519_128_SO_021.pdf|it;Link to searchable document |http://www.governo.it/sites/new.governo.it/files/DL_20200520.pdf|it;Documents with regard to the superbonus|https://www.governo.it/it/articolo/superbonus-la-guida-e-i-documenti/15955|it;Link to amending law 77/2020|https://www.gazzettaufficiale.it/eli/id/2020/07/18/20G00095/sg|it;Link to amending decree-law 2021/157|https://www.gazzettaufficiale.it/eli/id/2021/11/11/21G00173/sg|it</t>
  </si>
  <si>
    <t>Italy's Integrated National and Energy Climate Plan</t>
  </si>
  <si>
    <t>Standards, obligations and norms|Regulation;Capacity building|Governance;Processes, plans and strategies|Governance;Subnational and citizen participation|Governance</t>
  </si>
  <si>
    <t>Flood;Drought;Desertification;Biodiversity Loss</t>
  </si>
  <si>
    <t>Energy Supply;Waste;Transportation;Biodiversity;Transport;Biofuels;Health;Biogas;Agriculture;Aviation</t>
  </si>
  <si>
    <t>Agriculture;Buildings;Economy-wide;Energy;Health;Transportation;Waste</t>
  </si>
  <si>
    <t>01/12/2019|Approved||</t>
  </si>
  <si>
    <t>Full text (PDF)|https://ec.europa.eu/energy/sites/ener/files/documents/it_final_necp_main_en.pdf|en;Original version (PDF)|https://ec.europa.eu/energy/sites/ener/files/documents/it_final_necp_main_it.pdf|it</t>
  </si>
  <si>
    <t>Italy's National Plan for Resilience and Recovery #NextGenerationItalia</t>
  </si>
  <si>
    <t>Subsidies|Economic;Tax incentives|Economic;Processes, plans and strategies|Governance</t>
  </si>
  <si>
    <t>covid19</t>
  </si>
  <si>
    <t>Buildings;Economy-wide;Energy;Transport</t>
  </si>
  <si>
    <t>01/04/2021|Approved||</t>
  </si>
  <si>
    <t>Full text (PDF)|https://www.governo.it/sites/governo.it/files/PNRR.pdf|it;Dedicated EU page |https://ec.europa.eu/info/business-economy-euro/recovery-coronavirus/recovery-and-resilience-facility/italys-recovery-and-resilience-plan_en#italys-recovery-and-resilience-plan|en;COUNCIL IMPLEMENTING DECISION on the approval of the assessment of the recovery and resilience plan for Italy|https://data.consilium.europa.eu/doc/document/ST-10160-2021-INIT/en/pdf|en</t>
  </si>
  <si>
    <t>Vision 2030 Jamaica</t>
  </si>
  <si>
    <t>Early warning systems|Direct Investment;Processes, plans and strategies|Governance</t>
  </si>
  <si>
    <t>Road Map/Vision/Agenda</t>
  </si>
  <si>
    <t>Adaptation;Institutions / Administrative Arrangements;Research And Development;Energy Supply;Energy Demand;Redd+ And Lulucf</t>
  </si>
  <si>
    <t>Economy-wide;Energy;Health;LULUCF;Transportation;Water</t>
  </si>
  <si>
    <t>01/05/2009|Law passed||</t>
  </si>
  <si>
    <t>Short version|https://climate-laws.org/rails/active_storage/blobs/eyJfcmFpbHMiOnsibWVzc2FnZSI6IkJBaHBBaUlJIiwiZXhwIjpudWxsLCJwdXIiOiJibG9iX2lkIn19--0a5df662a7749cf74a037871f5383ba9a981de7f/f|en;Full text (PDF)|https://climate-laws.org/rails/active_storage/blobs/eyJfcmFpbHMiOnsibWVzc2FnZSI6IkJBaHBBb0FNIiwiZXhwIjpudWxsLCJwdXIiOiJibG9iX2lkIn19--aa0695c4f0a1a729dcf05cbde049de7582835670/vision%202030%20jamaica%20ndp%20full%20no%20cover%20(web).pdf|en</t>
  </si>
  <si>
    <t>Climate Change Policy Framework for Jamaica</t>
  </si>
  <si>
    <t>Capacity building|Governance;Institutional mandates|Governance;Processes, plans and strategies|Governance;International cooperation|Governance;Education, training and knowledge dissemination|Information</t>
  </si>
  <si>
    <t>Adaptation;Institutions / Administrative Arrangements;Research And Development;Redd+ And Lulucf</t>
  </si>
  <si>
    <t>Economy-wide;Social development;Transportation</t>
  </si>
  <si>
    <t>01/09/2015|Law passed||</t>
  </si>
  <si>
    <t>2013 green paper (PDF)|https://climate-laws.org/rails/active_storage/blobs/eyJfcmFpbHMiOnsibWVzc2FnZSI6IkJBaHBBaU1JIiwiZXhwIjpudWxsLCJwdXIiOiJibG9iX2lkIn19--3ed5b9c9106acc1a06e417c0429a1592bd26d7f7/f|en;Full 2015 text (PDF)|https://climate-laws.org/rails/active_storage/blobs/eyJfcmFpbHMiOnsibWVzc2FnZSI6IkJBaHBBbjhNIiwiZXhwIjpudWxsLCJwdXIiOiJibG9iX2lkIn19--1948ac272e274ab45b8c956916f5b9c56c30b8b6/Jamaica-Climate-Change-Policy-fwL-2015.pdf|en</t>
  </si>
  <si>
    <t>Act on Purchase of Renewable Energy Sourced Electricity by Electric Utilities (Law No. 108 of 2011)</t>
  </si>
  <si>
    <t>Standards, obligations and norms|Regulation;Subsidies|Economic</t>
  </si>
  <si>
    <t>Economy-wide;Energy;Transportation</t>
  </si>
  <si>
    <t>26/08/2011|Law passed||;01/07/2012|Entry into force||;18/06/2014|Last amendment||;12/06/2020|Amendment promulgated||;01/04/2022|Entry into force of 2020 amendment||</t>
  </si>
  <si>
    <t>Full text|https://climate-laws.org/rails/active_storage/blobs/eyJfcmFpbHMiOnsibWVzc2FnZSI6IkJBaHBBb0FKIiwiZXhwIjpudWxsLCJwdXIiOiJibG9iX2lkIn19--da058b5ad11d7f91400c88dc6ce397a23117d67f/f|;Cabinet decision on 2020 amendment|https://www.meti.go.jp/english/press/2020/0225_001.html|en</t>
  </si>
  <si>
    <t>Act on Promotion of Global Warming Countermeasures (Law No. 117 of 1998)</t>
  </si>
  <si>
    <t>Capacity building|Governance;Institutional mandates|Governance;Processes, plans and strategies|Governance;Subnational and citizen participation|Governance;MRV|Governance</t>
  </si>
  <si>
    <t>Institutions / Administrative Arrangements;Research And Development;Energy Supply;Energy Demand;Transportation</t>
  </si>
  <si>
    <t>09/10/1998|Law passed||;16/02/2005|Entry into force||;30/05/2014|Amendment||;01/05/2016|Plan adopted||;04/06/2021|climate neutral goal adopted||</t>
  </si>
  <si>
    <t>Full text|https://climate-laws.org/rails/active_storage/blobs/eyJfcmFpbHMiOnsibWVzc2FnZSI6IkJBaHBBaGtJIiwiZXhwIjpudWxsLCJwdXIiOiJibG9iX2lkIn19--f1aa609515dfd46437ed7ca9d2ab7a036564df28/f|ja;2021 bill on net zero by 2050|http://www.env.go.jp/press/109218.html|ja;Net zero bill presentation |http://www.env.go.jp/press/ontaihou/116348.pdf|ja</t>
  </si>
  <si>
    <t>Plan for Global Warming Countermeasures</t>
  </si>
  <si>
    <t>Energy Supply;Energy Demand;Redd+ And Lulucf;Transportation</t>
  </si>
  <si>
    <t>13/05/2016|Law passed||</t>
  </si>
  <si>
    <t>Full text|http://www.env.go.jp/en/headline/2238.html|;Full text|https://climate-laws.org/rails/active_storage/blobs/eyJfcmFpbHMiOnsibWVzc2FnZSI6IkJBaHBBbzBIIiwiZXhwIjpudWxsLCJwdXIiOiJibG9iX2lkIn19--d76ba6eb07212363acdd03d8cd888dce5648687c/f|</t>
  </si>
  <si>
    <t>The 5th Strategic Energy Plan</t>
  </si>
  <si>
    <t>Carbon Pricing;Energy Supply;Energy Demand</t>
  </si>
  <si>
    <t>03/07/2018|Law passed||</t>
  </si>
  <si>
    <t>2014 Full text - Strategic Energy Plan|http://www.enecho.meti.go.jp/en/category/others/basic_plan/pdf/4th_strategic_energy_plan.pdf|en;2015 Long-term Energy Supply and Demand Outlook|http://www.meti.go.jp/english/press/2015/0716_01.html|en;Link to official page and pdfs for the 2018 version|https://www.meti.go.jp/english/press/2018/0703_002.html|en</t>
  </si>
  <si>
    <t>National Plan for Adaptation to the Impacts of Climate Change</t>
  </si>
  <si>
    <t>Adaptation;Disaster Risk Management</t>
  </si>
  <si>
    <t>Erosion;Floods;Droughts;Cyclones;Tsunamis;Storms;Hurricanes;Heat Waves And Heat Stress;Sea Level Rise;Changes In Average Precipitation;Loss Of Sea Ice</t>
  </si>
  <si>
    <t>Agriculture;Water</t>
  </si>
  <si>
    <t>27/11/2015|Law passed||</t>
  </si>
  <si>
    <t>Full text - National Plan|http://www.env.go.jp/en/focus/docs/files/20151127-101.pdf|;Full text - Report on Assessment of Impacts of Climate Change in Japan and Future Challenges|http://www.env.go.jp/en/focus/docs/files/20150300-100.pdf|</t>
  </si>
  <si>
    <t>Capacity building|Governance;Processes, plans and strategies|Governance;Subnational and citizen participation|Governance</t>
  </si>
  <si>
    <t>Hydrogen;Covid19;Stimulus Plan</t>
  </si>
  <si>
    <t>Economy-wide;Energy;Industry;Transportation</t>
  </si>
  <si>
    <t>25/12/2020|Released||</t>
  </si>
  <si>
    <t>Link to official website|https://www.meti.go.jp/english/press/2020/1225_001.html|en;Overview (provisional translation)|https://www.meti.go.jp/english/press/2020/pdf/1225_001a.pdf|en;Full text (PDF)|https://www.meti.go.jp/press/2020/12/20201225012/20201225012-2.pdf|ja</t>
  </si>
  <si>
    <t>Hydrogen</t>
  </si>
  <si>
    <t>Energy;Industry;Transportation</t>
  </si>
  <si>
    <t>26/12/2017|Released||;12/05/2019|Amended||</t>
  </si>
  <si>
    <t>Provisional translation (PDF)|https://www.meti.go.jp/english/press/2017/pdf/1226_003b.pdf|en;Link to the Strategic Roadmap for Hydrogen and Fuel Cells|https://www.meti.go.jp/english/press/2019/0312_002.html|</t>
  </si>
  <si>
    <t>Nature based solutions and ecosystem restoration|Direct Investment;Capacity building|Governance;Processes, plans and strategies|Governance;Education, training and knowledge dissemination|Information;Research &amp; Development, knowledge generation|Information</t>
  </si>
  <si>
    <t>Food Security;Fisheries;Forest;Energy Efficiency;Circular Economy;Food;Innovation</t>
  </si>
  <si>
    <t>Agriculture;Cross Cutting Area;LULUCF;Rural;Social development</t>
  </si>
  <si>
    <t>12/05/2021|Approved||</t>
  </si>
  <si>
    <t>Link to official website|https://www.maff.go.jp/e/policies/env/env_policy/meadri.html|en;Summary of the strategy (PDF)|https://www.maff.go.jp/e/policies/env/env_policy/attach/pdf/meadri_s.pdf|en;Detailed approach and measures (PDF)|https://www.maff.go.jp/e/policies/env/env_policy/attach/pdf/meadri-4.pdf|en</t>
  </si>
  <si>
    <t>Bylaw 79/2019 on Climate Change pursuant to environmental protection law 6/2017</t>
  </si>
  <si>
    <t>Capacity building|Governance;Institutional mandates|Governance;MRV|Governance</t>
  </si>
  <si>
    <t>24/04/2019|Approved||</t>
  </si>
  <si>
    <t>Link to full text on external website (PDF)|http://extwprlegs1.fao.org/docs/pdf/jor193638.pdf|ar;Unofficial translation of law 6/2017|http://extwprlegs1.fao.org/docs/pdf/jor173241E.pdf|en</t>
  </si>
  <si>
    <t>The Concept of Transition of the Republic of Kazakhstan to Sustainable Development (green economy) for the Period 2007-2024, Presidential Decrees No 216/2006 and 557/2013</t>
  </si>
  <si>
    <t>Capacity building|Governance;Processes, plans and strategies|Governance</t>
  </si>
  <si>
    <t>Adaptation;Institutions / Administrative Arrangements;Research And Development;Energy Supply;Energy Demand;Redd+ And Lulucf;Transportation</t>
  </si>
  <si>
    <t>Economy-wide;Energy;Health;Residential and Commercial;Social development;Transportation;Water</t>
  </si>
  <si>
    <t>14/11/2006|Law passed||;30/05/2013|Amended||</t>
  </si>
  <si>
    <t>Link to 2013 version (pdf)|https://policy.asiapacificenergy.org/sites/default/files/Concept%20on%20Transition%20towards%20Green%20Economy%20until%202050%20%28EN%29.pdf|en;Link to 2013 version (pdf)|https://policy.asiapacificenergy.org/sites/default/files/Concept%20on%20Transition%20towards%20Green%20Economy%20until%202050%20%28RU%29.pdf|ru</t>
  </si>
  <si>
    <t>Government Decree No 857, on wind energy development</t>
  </si>
  <si>
    <t>25/08/2003|Law passed</t>
  </si>
  <si>
    <t>Full text|https://climate-laws.org/rails/active_storage/blobs/eyJfcmFpbHMiOnsibWVzc2FnZSI6IkJBaHBBaUVLIiwiZXhwIjpudWxsLCJwdXIiOiJibG9iX2lkIn19--42e4b375c84588de16d638a5b834e5ba5ff7d379/f|;English translation|https://climate-laws.org/rails/active_storage/blobs/eyJfcmFpbHMiOnsibWVzc2FnZSI6IkJBaHBBaUlLIiwiZXhwIjpudWxsLCJwdXIiOiJibG9iX2lkIn19--cb5cb33598af6efbbc2da98e064f2726d88810d7/f|</t>
  </si>
  <si>
    <t>Law on the transition to green economy</t>
  </si>
  <si>
    <t>Institutions / Administrative Arrangements;Energy Supply</t>
  </si>
  <si>
    <t>Economy-wide;Energy;Waste;Water</t>
  </si>
  <si>
    <t>28/04/2016|Law passed</t>
  </si>
  <si>
    <t>Full text|https://climate-laws.org/rails/active_storage/blobs/eyJfcmFpbHMiOnsibWVzc2FnZSI6IkJBaHBBZzBJIiwiZXhwIjpudWxsLCJwdXIiOiJibG9iX2lkIn19--994042091b9017de34ce46af1f703b7d004e001a/f|ru;2013 draft law|https://climate-laws.org/rails/active_storage/blobs/eyJfcmFpbHMiOnsibWVzc2FnZSI6IkJBaHBBdGtLIiwiZXhwIjpudWxsLCJwdXIiOiJibG9iX2lkIn19--b09f1fcfde7e800a14e90b8aec16c96674564af0/2031_draft%20law.pdf|ru</t>
  </si>
  <si>
    <t>National Climate Change Response Strategy 2010 As implemented by 2013-2017 Climate Change Action Plan</t>
  </si>
  <si>
    <t>Plan;Strategy</t>
  </si>
  <si>
    <t>Adaptation;Institutions / Administrative Arrangements;Research And Development</t>
  </si>
  <si>
    <t>Agriculture;Residential and Commercial</t>
  </si>
  <si>
    <t>08/02/2013|Law passed||</t>
  </si>
  <si>
    <t>Full text|https://climate-laws.org/rails/active_storage/blobs/eyJfcmFpbHMiOnsibWVzc2FnZSI6IkJBaHBBZ2NHIiwiZXhwIjpudWxsLCJwdXIiOiJibG9iX2lkIn19--04d25dc2dbdced0caa7183982a16bc76536942a1/f|;Full text - part 2|https://climate-laws.org/rails/active_storage/blobs/eyJfcmFpbHMiOnsibWVzc2FnZSI6IkJBaHBBZ2dHIiwiZXhwIjpudWxsLCJwdXIiOiJibG9iX2lkIn19--8732cad6e7c37371e3fcebade6a08ab33c89ad31/f|</t>
  </si>
  <si>
    <t>Redd+ And Lulucf</t>
  </si>
  <si>
    <t>Agriculture;Environment;LULUCF;Water</t>
  </si>
  <si>
    <t>25/12/2009|Law passed</t>
  </si>
  <si>
    <t>full text (pdf)|http://www.lse.ac.uk/GranthamInstitute/wp-content/uploads/2017/12/Farm-Forestry-RulesKenya.pdf|en;link to text via webpage|http://kenyalaw.org/kl/index.php?id=701|en</t>
  </si>
  <si>
    <t>Energy Act 2006, Parts of which is executed by the Energy Management Regulations 2012</t>
  </si>
  <si>
    <t>Standards, obligations and norms|Regulation;Institutional mandates|Governance;Processes, plans and strategies|Governance</t>
  </si>
  <si>
    <t>Institutions / Administrative Arrangements;Energy Supply;Energy Demand</t>
  </si>
  <si>
    <t>Energy;Transportation;Waste;Water</t>
  </si>
  <si>
    <t>25/12/2006|Law passed;25/04/2012|Last amendment</t>
  </si>
  <si>
    <t>Full text|https://climate-laws.org/rails/active_storage/blobs/eyJfcmFpbHMiOnsibWVzc2FnZSI6IkJBaHBBbXdKIiwiZXhwIjpudWxsLCJwdXIiOiJibG9iX2lkIn19--a8aa9eab5fce33ebaf0dadf9fd71d450c7b7f56b/f|;Full text|https://climate-laws.org/rails/active_storage/blobs/eyJfcmFpbHMiOnsibWVzc2FnZSI6IkJBaHBBbTBKIiwiZXhwIjpudWxsLCJwdXIiOiJibG9iX2lkIn19--1569c7650f302ad8e90897461ee714b75274f772/f|</t>
  </si>
  <si>
    <t>National Climate Change Action Plan 2018-2022 (NCCAP)</t>
  </si>
  <si>
    <t>Adaptation;Disaster Risk Management;Mitigation</t>
  </si>
  <si>
    <t>Adaptation;Energy Supply;Energy Demand;Redd+ And Lulucf;Transportation</t>
  </si>
  <si>
    <t>Agriculture;Energy;Environment;Health;LULUCF;Tourism;Transportation;Urban;Waste;Water</t>
  </si>
  <si>
    <t>16/05/2018|Law passed</t>
  </si>
  <si>
    <t>Full official text (PDF) |https://climate-laws.org/rails/active_storage/blobs/eyJfcmFpbHMiOnsibWVzc2FnZSI6IkJBaHBBc2dGIiwiZXhwIjpudWxsLCJwdXIiOiJibG9iX2lkIn19--5ec3b6e8b2662f7902579f2012a999b8924d89ab/f|;Full text vol 1|https://climate-laws.org/rails/active_storage/blobs/eyJfcmFpbHMiOnsibWVzc2FnZSI6IkJBaHBBc2tGIiwiZXhwIjpudWxsLCJwdXIiOiJibG9iX2lkIn19--6d125abfc1fd6c1e405fb372b78df58b1943ecc1/f|;Full text vol 3|https://climate-laws.org/rails/active_storage/blobs/eyJfcmFpbHMiOnsibWVzc2FnZSI6IkJBaHBBc29GIiwiZXhwIjpudWxsLCJwdXIiOiJibG9iX2lkIn19--2ad0423967edb71b1ce803ee312fb59f3c53a710/f|</t>
  </si>
  <si>
    <t>Environmental Management and Coordination (Amendment) Act (EMCA)</t>
  </si>
  <si>
    <t>Disaster Risk Management;Mitigation</t>
  </si>
  <si>
    <t>Capacity building|Governance;Institutional mandates|Governance</t>
  </si>
  <si>
    <t>Flood</t>
  </si>
  <si>
    <t>Renewables;Afforestation</t>
  </si>
  <si>
    <t>Environment</t>
  </si>
  <si>
    <t>25/12/1999|Passed||;25/06/2015|Amended||</t>
  </si>
  <si>
    <t>Link to full text (2012 version)|http://extwprlegs1.fao.org/docs/pdf/ken41653.pdf|en;Link to full text of 2015 amendment act (PDF)|https://www.nema.go.ke/images/Docs/Legislation%20and%20Policies/EMCA%20Act%202015.pdf|en</t>
  </si>
  <si>
    <t>Kiribati Joint Implementation Plans for Climate Change and Disaster Risk Management 2014-2023 and 2019-2028</t>
  </si>
  <si>
    <t>Adaptation;Drm/Drr</t>
  </si>
  <si>
    <t>Adaptation;Disaster Risk Management;Loss And Damage</t>
  </si>
  <si>
    <t>Cyclones;Tsunamis;Storms;Hurricanes;Soil Erosion;Sea Level Rise</t>
  </si>
  <si>
    <t>Adaptation;Energy Supply;Energy Demand</t>
  </si>
  <si>
    <t>Energy;Health;LULUCF;Transportation;Water</t>
  </si>
  <si>
    <t>25/12/2014|Law passed||;01/01/2019|Approved||</t>
  </si>
  <si>
    <t>Full text |https://climate-laws.org/rails/active_storage/blobs/eyJfcmFpbHMiOnsibWVzc2FnZSI6IkJBaHBBam9IIiwiZXhwIjpudWxsLCJwdXIiOiJibG9iX2lkIn19--d7ffac1366f335e377052eeee88a55ba63a8d952/f|en;Full text (PDF)|https://climate-laws.org/rails/active_storage/blobs/eyJfcmFpbHMiOnsibWVzc2FnZSI6IkJBaHBBc2tNIiwiZXhwIjpudWxsLCJwdXIiOiJibG9iX2lkIn19--11c3efb7f290627c67fd2bd9a9ff8377acbf03cf/2019%20Kiribati-Joint-Implementation-Plan-for-Climate-Change-and-Disaster-Risk-Management-2019-2028.pdf|en</t>
  </si>
  <si>
    <t>National Water Resources Policy and Implementation Plan</t>
  </si>
  <si>
    <t>Plan;Policy</t>
  </si>
  <si>
    <t>Health;Water</t>
  </si>
  <si>
    <t>01/11/2008|Law passed</t>
  </si>
  <si>
    <t>Full text (PDF) (Policy)|https://climate-laws.org/rails/active_storage/blobs/eyJfcmFpbHMiOnsibWVzc2FnZSI6IkJBaHBBcWdGIiwiZXhwIjpudWxsLCJwdXIiOiJibG9iX2lkIn19--8d01c59770e4d8cd2567ffd9bbd63a766f7680ff/f|;Full text (PDF) (Implementation Plan)|https://climate-laws.org/rails/active_storage/blobs/eyJfcmFpbHMiOnsibWVzc2FnZSI6IkJBaHBBcWtGIiwiZXhwIjpudWxsLCJwdXIiOiJibG9iX2lkIn19--b0567f15298dffb910c24d222b83d49b48fa82a2/f|</t>
  </si>
  <si>
    <t>Strategy on Climate Change</t>
  </si>
  <si>
    <t>Adaptation;Mitigation;Drm/Drr</t>
  </si>
  <si>
    <t>Capacity building|Governance;Subnational and citizen participation|Governance</t>
  </si>
  <si>
    <t>Adaptation;Institutions / Administrative Arrangements;Research And Development;Carbon Pricing;Energy Supply;Energy Demand;Redd+ And Lulucf;Transportation</t>
  </si>
  <si>
    <t>25/12/2014|Law passed||</t>
  </si>
  <si>
    <t>Full text|https://climate-laws.org/rails/active_storage/blobs/eyJfcmFpbHMiOnsibWVzc2FnZSI6IkJBaHBBaVlHIiwiZXhwIjpudWxsLCJwdXIiOiJibG9iX2lkIn19--4393f98469f47dfb78d60c84e948c0402f0537ff/f|;Full text - part 2|https://climate-laws.org/rails/active_storage/blobs/eyJfcmFpbHMiOnsibWVzc2FnZSI6IkJBaHBBaWNHIiwiZXhwIjpudWxsLCJwdXIiOiJibG9iX2lkIn19--c4939ccd525a2433cac9b1959ce3074c877e39f1/f|</t>
  </si>
  <si>
    <t>Notes</t>
  </si>
  <si>
    <t xml:space="preserve">Decreto Nº 10.431, de 20 de julho de 2020 </t>
  </si>
  <si>
    <t>Brazil</t>
  </si>
  <si>
    <t>BRA</t>
  </si>
  <si>
    <t>Portuguese</t>
  </si>
  <si>
    <t>https://www.in.gov.br/en/web/dou/-/decreto-n-10.431-de-20-de-julho-de-2020-267731155|pt</t>
  </si>
  <si>
    <t>https://www.in.gov.br/en/web/dou/-/decreto-n-10.431-de-20-de-julho-de-2020-267731155</t>
  </si>
  <si>
    <t>Danny</t>
  </si>
  <si>
    <t>Resolução Nº 3.896</t>
  </si>
  <si>
    <t>https://www.bcb.gov.br/pre/normativos/busca/downloadNormativo.asp?arquivo=/Lists/Normativos/Attachments/49552/Res_3896_v1_O.pdf|pt</t>
  </si>
  <si>
    <t>https://www.bcb.gov.br/pre/normativos/busca/downloadNormativo.asp?arquivo=/Lists/Normativos/Attachments/49552/Res_3896_v1_O.pdf</t>
  </si>
  <si>
    <t>Portaria Interministerial Mapa/MDA Nº 984, de 8 de outubro de 2013</t>
  </si>
  <si>
    <t>Ordinance</t>
  </si>
  <si>
    <r>
      <rPr>
        <rFont val="Calibri"/>
        <color rgb="FF000000"/>
        <sz val="10.0"/>
        <u/>
      </rPr>
      <t>https://diariofiscal.com.br/ZpNbw3dk20XgIKXVGacL5NS8haIoH5PqbJKZaawfaDwCm/legislacaofederal/portaria/2013/mapa-mda.984.htm</t>
    </r>
    <r>
      <rPr>
        <rFont val="Calibri"/>
        <color rgb="FF000000"/>
        <sz val="10.0"/>
      </rPr>
      <t>|pt;</t>
    </r>
  </si>
  <si>
    <t>https://diariofiscal.com.br/ZpNbw3dk20XgIKXVGacL5NS8haIoH5PqbJKZaawfaDwCm/legislacaofederal/portaria/2013/mapa-mda.984.htm</t>
  </si>
  <si>
    <t>Portaria MAPA nº 230, de 21.10.2015</t>
  </si>
  <si>
    <t>https://antigo.mctic.gov.br/mctic/opencms/legislacao/portarias/migracao/Portaria_MAPA_n_230_de_21102015.html|pt</t>
  </si>
  <si>
    <t>https://antigo.mctic.gov.br/mctic/opencms/legislacao/portarias/migracao/Portaria_MAPA_n_230_de_21102015.html</t>
  </si>
  <si>
    <t>Decreto Nº 9.888, de 27 de junho de 2019</t>
  </si>
  <si>
    <r>
      <rPr>
        <rFont val="Calibri"/>
        <color rgb="FF1155CC"/>
        <sz val="10.0"/>
        <u/>
      </rPr>
      <t>http://www.planalto.gov.br/ccivil_03/_ato2019-2022/2019/decreto/D9888.htm</t>
    </r>
    <r>
      <rPr>
        <rFont val="Calibri"/>
        <color rgb="FF000000"/>
        <sz val="10.0"/>
      </rPr>
      <t>|pt</t>
    </r>
  </si>
  <si>
    <t>http://www.planalto.gov.br/ccivil_03/_ato2019-2022/2019/decreto/D9888.htm</t>
  </si>
  <si>
    <t>Resolução Nº 791, de 12 de junho de 2019</t>
  </si>
  <si>
    <t>Resolution 791|https://www.in.gov.br/web/dou/-/resolucao-n-791-de-12-de-junho-de-2019-163598743|pt</t>
  </si>
  <si>
    <t>https://www.in.gov.br/web/dou/-/resolucao-n-791-de-12-de-junho-de-2019-163598743</t>
  </si>
  <si>
    <t>Portaria Interministerial MCT/MMA nº 356, de 25.09.2009</t>
  </si>
  <si>
    <t>https://cetesb.sp.gov.br/proclima/wp-content/uploads/sites/36/2018/01/portaria_interministerial_mct_356.pdf|pt</t>
  </si>
  <si>
    <t>https://cetesb.sp.gov.br/proclima/wp-content/uploads/sites/36/2018/01/portaria_interministerial_mct_356.pdf</t>
  </si>
  <si>
    <t>Portaria Nº 100, de 1º de dezembro de 2015</t>
  </si>
  <si>
    <t>https://pesquisa.in.gov.br/imprensa/jsp/visualiza/index.jsp?jornal=1&amp;pagina=90&amp;data=03/12/2015|pt</t>
  </si>
  <si>
    <t>https://pesquisa.in.gov.br/imprensa/jsp/visualiza/index.jsp?jornal=1&amp;pagina=90&amp;data=03/12/2015</t>
  </si>
  <si>
    <t>text/html;charset=ISO-8859-1</t>
  </si>
  <si>
    <t>ENREDD+ Estratégia Nacional para Redução das Emissões Provenientes do Desmatamento e da Degradação Florestal, Conservação dos Estoques de Carbono Florestal, Manejo Sustentável de Florestas e Aumento de Estoques de Carbono Florestal</t>
  </si>
  <si>
    <t>http://redd.mma.gov.br/images/publicacoes/enredd_documento_web.pdf|pt</t>
  </si>
  <si>
    <t>http://redd.mma.gov.br/images/publicacoes/enredd_documento_web.pdf</t>
  </si>
  <si>
    <t>Brunei Darussalam National Climate Change Policy</t>
  </si>
  <si>
    <t>Brunei Darussalam</t>
  </si>
  <si>
    <t>BRN</t>
  </si>
  <si>
    <t>http://climatechange.gov.bn/Theme/Index.aspx</t>
  </si>
  <si>
    <t>ЗАКОН за ограничаване изменението на климата</t>
  </si>
  <si>
    <t>Bulgaria</t>
  </si>
  <si>
    <t>BGR</t>
  </si>
  <si>
    <t>Bulgarian</t>
  </si>
  <si>
    <t>http://www.lse.ac.uk/GranthamInstitute/wp-content/uploads/laws/1101.pdf|bg</t>
  </si>
  <si>
    <t>http://www.lse.ac.uk/GranthamInstitute/wp-content/uploads/laws/1101.pdf</t>
  </si>
  <si>
    <t>Climate Change Mitigation Act</t>
  </si>
  <si>
    <t>https://climate-laws.org/rails/active_storage/blobs/eyJfcmFpbHMiOnsibWVzc2FnZSI6IkJBaHBBbmdLIiwiZXhwIjpudWxsLCJwdXIiOiJibG9iX2lkIn19--74e282cbe198753c6e1758ba51228d5ded8aee42/1101ENtranslation.pdf|en</t>
  </si>
  <si>
    <t>https://climate-laws.org/rails/active_storage/blobs/eyJfcmFpbHMiOnsibWVzc2FnZSI6IkJBaHBBbmdLIiwiZXhwIjpudWxsLCJwdXIiOiJibG9iX2lkIn19--74e282cbe198753c6e1758ba51228d5ded8aee42/1101ENtranslation.pdf</t>
  </si>
  <si>
    <t>ЗАКОН ЗА ГОРИТЕ</t>
  </si>
  <si>
    <t>http://www.lse.ac.uk/GranthamInstitute/wp-content/uploads/laws/1102.pdf|bg</t>
  </si>
  <si>
    <t>http://www.lse.ac.uk/GranthamInstitute/wp-content/uploads/laws/1102.pdf</t>
  </si>
  <si>
    <t>Forestry Act</t>
  </si>
  <si>
    <t>https://climate-laws.org/rails/active_storage/blobs/eyJfcmFpbHMiOnsibWVzc2FnZSI6IkJBaHBBbmtLIiwiZXhwIjpudWxsLCJwdXIiOiJibG9iX2lkIn19--dfa4906501114a50b093e7d2a7b892c7c879b79e/1102translation.pdf|en</t>
  </si>
  <si>
    <t>https://climate-laws.org/rails/active_storage/blobs/eyJfcmFpbHMiOnsibWVzc2FnZSI6IkJBaHBBbmtLIiwiZXhwIjpudWxsLCJwdXIiOiJibG9iX2lkIn19--dfa4906501114a50b093e7d2a7b892c7c879b79e/1102translation.pdf</t>
  </si>
  <si>
    <t>ЗАКОН за енергията от възобновяеми източници</t>
  </si>
  <si>
    <t>http://www.lse.ac.uk/GranthamInstitute/wp-content/uploads/laws/1103.pdf|bg</t>
  </si>
  <si>
    <t>http://www.lse.ac.uk/GranthamInstitute/wp-content/uploads/laws/1103.pdf</t>
  </si>
  <si>
    <t>Energy from Renewable Sources Act</t>
  </si>
  <si>
    <t>https://climate-laws.org/rails/active_storage/blobs/eyJfcmFpbHMiOnsibWVzc2FnZSI6IkJBaHBBbm9LIiwiZXhwIjpudWxsLCJwdXIiOiJibG9iX2lkIn19--dd6ac4dd84fee978b11388745061d52f5090c26b/1103translation.pdf|en</t>
  </si>
  <si>
    <t>https://climate-laws.org/rails/active_storage/blobs/eyJfcmFpbHMiOnsibWVzc2FnZSI6IkJBaHBBbm9LIiwiZXhwIjpudWxsLCJwdXIiOiJibG9iX2lkIn19--dd6ac4dd84fee978b11388745061d52f5090c26b/1103translation.pdf</t>
  </si>
  <si>
    <t>ЗАКОН за енергийната ефективност</t>
  </si>
  <si>
    <t>http://www.lse.ac.uk/GranthamInstitute/wp-content/uploads/laws/1107.pdf|bg</t>
  </si>
  <si>
    <t>http://www.lse.ac.uk/GranthamInstitute/wp-content/uploads/laws/1107.pdf</t>
  </si>
  <si>
    <t>Energy Efficiency Act</t>
  </si>
  <si>
    <t>https://climate-laws.org/rails/active_storage/blobs/eyJfcmFpbHMiOnsibWVzc2FnZSI6IkJBaHBBbnNLIiwiZXhwIjpudWxsLCJwdXIiOiJibG9iX2lkIn19--ad364176f3a88f435a58267a944c0d1285cbcbec/1107translation.pdf|en</t>
  </si>
  <si>
    <t>https://climate-laws.org/rails/active_storage/blobs/eyJfcmFpbHMiOnsibWVzc2FnZSI6IkJBaHBBbnNLIiwiZXhwIjpudWxsLCJwdXIiOiJibG9iX2lkIn19--ad364176f3a88f435a58267a944c0d1285cbcbec/1107translation.pdf</t>
  </si>
  <si>
    <t>ЗАКОН за енергетиката</t>
  </si>
  <si>
    <t>http://www.lse.ac.uk/GranthamInstitute/wp-content/uploads/laws/1109a.pdf|bg</t>
  </si>
  <si>
    <t>http://www.lse.ac.uk/GranthamInstitute/wp-content/uploads/laws/1109a.pdf</t>
  </si>
  <si>
    <t>ЕНЕРГИЙНА СТРАТЕГИЯ НА РЕПУБЛИКА БЪЛГАРИЯ ДО 2020 г. ЗА НАДЕЖДНА, ЕФЕКТИВНА И ПО-ЧИСТА
ЕНЕРГЕТИКА</t>
  </si>
  <si>
    <t>http://www.lse.ac.uk/GranthamInstitute/wp-content/uploads/laws/1109b.pdf|bg</t>
  </si>
  <si>
    <t>http://www.lse.ac.uk/GranthamInstitute/wp-content/uploads/laws/1109b.pdf</t>
  </si>
  <si>
    <t>Energy Act</t>
  </si>
  <si>
    <t>https://climate-laws.org/rails/active_storage/blobs/eyJfcmFpbHMiOnsibWVzc2FnZSI6IkJBaHBBbndLIiwiZXhwIjpudWxsLCJwdXIiOiJibG9iX2lkIn19--bd72bad98fb2f7c08d9acf0595094347fd065cf7/1109atranslation.pdf|en</t>
  </si>
  <si>
    <t>https://climate-laws.org/rails/active_storage/blobs/eyJfcmFpbHMiOnsibWVzc2FnZSI6IkJBaHBBbndLIiwiZXhwIjpudWxsLCJwdXIiOiJibG9iX2lkIn19--bd72bad98fb2f7c08d9acf0595094347fd065cf7/1109atranslation.pdf</t>
  </si>
  <si>
    <t>Energy Strategy of the Republic of Bulgaria till 2020 for Reliable, Efficient and Cleaner Energy</t>
  </si>
  <si>
    <t>https://climate-laws.org/rails/active_storage/blobs/eyJfcmFpbHMiOnsibWVzc2FnZSI6IkJBaHBBbjBLIiwiZXhwIjpudWxsLCJwdXIiOiJibG9iX2lkIn19--933d51aa4168ef9a0786ac14a0ff5bb63c7a4595/1109btranslation.pdf|en</t>
  </si>
  <si>
    <t>https://climate-laws.org/rails/active_storage/blobs/eyJfcmFpbHMiOnsibWVzc2FnZSI6IkJBaHBBbjBLIiwiZXhwIjpudWxsLCJwdXIiOiJibG9iX2lkIn19--933d51aa4168ef9a0786ac14a0ff5bb63c7a4595/1109btranslation.pdf</t>
  </si>
  <si>
    <t>Закон за устройство на територията</t>
  </si>
  <si>
    <t>http://www.lse.ac.uk/GranthamInstitute/wp-content/uploads/laws/1110.pdf|bg</t>
  </si>
  <si>
    <t>http://www.lse.ac.uk/GranthamInstitute/wp-content/uploads/laws/1110.pdf</t>
  </si>
  <si>
    <t>Spatial Planning Act</t>
  </si>
  <si>
    <t>https://climate-laws.org/rails/active_storage/blobs/eyJfcmFpbHMiOnsibWVzc2FnZSI6IkJBaHBBbjRLIiwiZXhwIjpudWxsLCJwdXIiOiJibG9iX2lkIn19--fd01878cf290d7cb2c51d845f8bf1c7667a402cb/1110translation.pdf|en</t>
  </si>
  <si>
    <t>https://climate-laws.org/rails/active_storage/blobs/eyJfcmFpbHMiOnsibWVzc2FnZSI6IkJBaHBBbjRLIiwiZXhwIjpudWxsLCJwdXIiOiJibG9iX2lkIn19--fd01878cf290d7cb2c51d845f8bf1c7667a402cb/1110translation.pdf</t>
  </si>
  <si>
    <t>Integrated Energy and Climate Plan of the Republic of Bulgaria 2021 - 2030</t>
  </si>
  <si>
    <t>https://ec.europa.eu/energy/sites/ener/files/documents/bg_final_necp_main_en.pdf|en</t>
  </si>
  <si>
    <t>https://ec.europa.eu/energy/sites/ener/files/documents/bg_final_necp_main_en.pdf</t>
  </si>
  <si>
    <t>ИНТЕГРИРАН ПЛАН В ОБЛАСТТА НА ЕНЕРГЕТИКАТА И КЛИМАТА НА РЕПУБЛИКА БЪЛГАРИЯ 2021 – 2030 Г.</t>
  </si>
  <si>
    <t>https://ec.europa.eu/energy/sites/ener/files/documents/bg_final_necp_main_bg.pdf|bg</t>
  </si>
  <si>
    <t>https://ec.europa.eu/energy/sites/ener/files/documents/bg_final_necp_main_bg.pdf</t>
  </si>
  <si>
    <t>Национален план за възстановяване и устойчивост</t>
  </si>
  <si>
    <t>https://nextgeneration.bg/14|bg</t>
  </si>
  <si>
    <t>https://nextgeneration.bg/14</t>
  </si>
  <si>
    <t>Just a web page - no date - with links to other documents</t>
  </si>
  <si>
    <t>National Recovery and Resilience Plan of the Republic of Bulgaria</t>
  </si>
  <si>
    <t>https://climate-laws.org/rails/active_storage/blobs/eyJfcmFpbHMiOnsibWVzc2FnZSI6IkJBaHBBdmdPIiwiZXhwIjpudWxsLCJwdXIiOiJibG9iX2lkIn19--3804837ec201f2cbc02defc3d74a03340fa4f7e5/npvu-en-08022021.pdf|en</t>
  </si>
  <si>
    <t>https://ec.europa.eu/info/business-economy-euro/recovery-coronavirus/recovery-and-resilience-facility/recovery-and-resilience-plan-bulgaria_en</t>
  </si>
  <si>
    <t>Recovery and resilience plan for Bulgaria</t>
  </si>
  <si>
    <t>https://climate-laws.org/rails/active_storage/blobs/eyJfcmFpbHMiOnsibWVzc2FnZSI6IkJBaHBBdmdPIiwiZXhwIjpudWxsLCJwdXIiOiJibG9iX2lkIn19--3804837ec201f2cbc02defc3d74a03340fa4f7e5/npvu-en-08022021.pdf</t>
  </si>
  <si>
    <t>Just a web page - no date - providing additional information</t>
  </si>
  <si>
    <t>National Strategic Development Plan 2019 - 2023</t>
  </si>
  <si>
    <t>Cambodia</t>
  </si>
  <si>
    <t>KHM</t>
  </si>
  <si>
    <t>Law and plan</t>
  </si>
  <si>
    <t>https://climate-laws.org/rails/active_storage/blobs/eyJfcmFpbHMiOnsibWVzc2FnZSI6IkJBaHBBdllOIiwiZXhwIjpudWxsLCJwdXIiOiJibG9iX2lkIn19--9b3a471d1b6554e906ba26b5c4742177b935511d/nsdp-2019-2023_en.pdf|en</t>
  </si>
  <si>
    <t>https://climate-laws.org/rails/active_storage/blobs/eyJfcmFpbHMiOnsibWVzc2FnZSI6IkJBaHBBdllOIiwiZXhwIjpudWxsLCJwdXIiOiJibG9iX2lkIn19--9b3a471d1b6554e906ba26b5c4742177b935511d/nsdp-2019-2023_en.pdf</t>
  </si>
  <si>
    <t>ផែនការយុទ្ធសាស្រសតអភិវឌ្ឍន៍ជាតិ ២០១៩-២០២៣</t>
  </si>
  <si>
    <t>Khmer</t>
  </si>
  <si>
    <t>https://climate-laws.org/rails/active_storage/blobs/eyJfcmFpbHMiOnsibWVzc2FnZSI6IkJBaHBBdmNOIiwiZXhwIjpudWxsLCJwdXIiOiJibG9iX2lkIn19--e6f04d06bbd604973d1fd3e6223d346f08d6d8be/nsdp-2019-2023_kh.pdf|km</t>
  </si>
  <si>
    <t>https://climate-laws.org/rails/active_storage/blobs/eyJfcmFpbHMiOnsibWVzc2FnZSI6IkJBaHBBdmNOIiwiZXhwIjpudWxsLCJwdXIiOiJibG9iX2lkIn19--e6f04d06bbd604973d1fd3e6223d346f08d6d8be/nsdp-2019-2023_kh.pdf</t>
  </si>
  <si>
    <t>Cameroon Vision 2035</t>
  </si>
  <si>
    <t>Cameroon</t>
  </si>
  <si>
    <t>CMR</t>
  </si>
  <si>
    <t>https://climate-laws.org/rails/active_storage/blobs/eyJfcmFpbHMiOnsibWVzc2FnZSI6IkJBaHBBaVlJIiwiZXhwIjpudWxsLCJwdXIiOiJibG9iX2lkIn19--7a436ad913dfaab273c6de015c6f68689f7e2844/f|</t>
  </si>
  <si>
    <t>https://climate-laws.org/rails/active_storage/blobs/eyJfcmFpbHMiOnsibWVzc2FnZSI6IkJBaHBBaVlJIiwiZXhwIjpudWxsLCJwdXIiOiJibG9iX2lkIn19--7a436ad913dfaab273c6de015c6f68689f7e2844/f</t>
  </si>
  <si>
    <t>Cameroun Vision 20350</t>
  </si>
  <si>
    <t>French</t>
  </si>
  <si>
    <t>https://climate-laws.org/rails/active_storage/blobs/eyJfcmFpbHMiOnsibWVzc2FnZSI6IkJBaHBBaWNJIiwiZXhwIjpudWxsLCJwdXIiOiJibG9iX2lkIn19--8fc5805e67d47728d1f3b502306aaf37ce18958b/f|</t>
  </si>
  <si>
    <t>https://climate-laws.org/rails/active_storage/blobs/eyJfcmFpbHMiOnsibWVzc2FnZSI6IkJBaHBBaWNJIiwiZXhwIjpudWxsLCJwdXIiOiJibG9iX2lkIn19--8fc5805e67d47728d1f3b502306aaf37ce18958b/f</t>
  </si>
  <si>
    <t>Guidance Document - Heavy-duty Vehicle and Engine Greenhouse Gas Emission Regulations</t>
  </si>
  <si>
    <t>Canada</t>
  </si>
  <si>
    <t>CAN</t>
  </si>
  <si>
    <t>https://climate-laws.org/rails/active_storage/blobs/eyJfcmFpbHMiOnsibWVzc2FnZSI6IkJBaHBBc3dKIiwiZXhwIjpudWxsLCJwdXIiOiJibG9iX2lkIn19--2decc3b26ef574299098b1516d200e865417623b/f|</t>
  </si>
  <si>
    <t>https://climate-laws.org/rails/active_storage/blobs/eyJfcmFpbHMiOnsibWVzc2FnZSI6IkJBaHBBc3dKIiwiZXhwIjpudWxsLCJwdXIiOiJibG9iX2lkIn19--2decc3b26ef574299098b1516d200e865417623b/f</t>
  </si>
  <si>
    <t>This is a guidance document - new document type?</t>
  </si>
  <si>
    <t>Heavy-duty Vehicle and Engine Greenhouse Gas Emission Regulations SOR/2013-24</t>
  </si>
  <si>
    <t>https://laws-lois.justice.gc.ca/eng/regulations/sor-2013-24/page-1.html|en</t>
  </si>
  <si>
    <t>https://laws-lois.justice.gc.ca/eng/regulations/sor-2013-24/page-1.html</t>
  </si>
  <si>
    <t>Web page version</t>
  </si>
  <si>
    <t>Règlement sur la réduction des émissions de dioxyde de carbone - secteur de l'électricité thermique au charbon (DORS/2012-167)</t>
  </si>
  <si>
    <t>Reduction of Carbon Dioxide Emissions from Coal-fired Generation of Electricity Regulations (SOR/2012-167)</t>
  </si>
  <si>
    <t>https://climate-laws.org/rails/active_storage/blobs/eyJfcmFpbHMiOnsibWVzc2FnZSI6IkJBaHBBc3NKIiwiZXhwIjpudWxsLCJwdXIiOiJibG9iX2lkIn19--b6ba9cb20100533956c7c949cba342235f163aa4/f|</t>
  </si>
  <si>
    <t>https://climate-laws.org/rails/active_storage/blobs/eyJfcmFpbHMiOnsibWVzc2FnZSI6IkJBaHBBc3NKIiwiZXhwIjpudWxsLCJwdXIiOiJibG9iX2lkIn19--b6ba9cb20100533956c7c949cba342235f163aa4/f</t>
  </si>
  <si>
    <t>Two names, as it's bilingual</t>
  </si>
  <si>
    <t>https://laws-lois.justice.gc.ca/eng/regulations/sor-2012-167/index.html|en</t>
  </si>
  <si>
    <t>https://laws-lois.justice.gc.ca/eng/regulations/sor-2012-167/index.html</t>
  </si>
  <si>
    <t>Règlement sur les émissions de gaz à effet de serre des automobiles à passagers et des camions légers (DORS/2010-201)</t>
  </si>
  <si>
    <t>Passenger Automobile and Light Truck Greenhouse Gas Emission Regulations (SOR/2010-201)</t>
  </si>
  <si>
    <t>https://climate-laws.org/rails/active_storage/blobs/eyJfcmFpbHMiOnsibWVzc2FnZSI6IkJBaHBBc2NKIiwiZXhwIjpudWxsLCJwdXIiOiJibG9iX2lkIn19--dcee92be7acf6f42c812a2cfc799918f029f9cd3/f|</t>
  </si>
  <si>
    <t>https://climate-laws.org/rails/active_storage/blobs/eyJfcmFpbHMiOnsibWVzc2FnZSI6IkJBaHBBc2NKIiwiZXhwIjpudWxsLCJwdXIiOiJibG9iX2lkIn19--dcee92be7acf6f42c812a2cfc799918f029f9cd3/f</t>
  </si>
  <si>
    <t>Discussion Paper on the Mid-Term Evaluation of the Passenger Automobile and Light Truck Greenhouse Gas Emission Regulations</t>
  </si>
  <si>
    <t>Discussion Paper</t>
  </si>
  <si>
    <t>https://www.canada.ca/en/environment-climate-change/services/canadian-environmental-protection-act-registry/publications/automobile-truck-emission-regulations-discussion.html|en</t>
  </si>
  <si>
    <t>https://www.canada.ca/en/environment-climate-change/services/canadian-environmental-protection-act-registry/publications/automobile-truck-emission-regulations-discussion.html</t>
  </si>
  <si>
    <t>text/html;charset=utf-8</t>
  </si>
  <si>
    <t>Passenger Automobile and Light TRUCK Greenhouse Gas Emission Regulations (SOR/2010-201)</t>
  </si>
  <si>
    <t>https://laws-lois.justice.gc.ca/eng/regulations/sor-2010-201/index.html|en</t>
  </si>
  <si>
    <t>https://laws-lois.justice.gc.ca/eng/regulations/sor-2010-201/index.html</t>
  </si>
  <si>
    <t>Règlement sur les carburants renouvelables (DORS/2010-189)</t>
  </si>
  <si>
    <t>Renewable Fuels Regulations (SOR/2010-189)</t>
  </si>
  <si>
    <t>https://climate-laws.org/rails/active_storage/blobs/eyJfcmFpbHMiOnsibWVzc2FnZSI6IkJBaHBBc1VKIiwiZXhwIjpudWxsLCJwdXIiOiJibG9iX2lkIn19--557e8bdd1116ed5bb4dc3a45048ffb1e02954978/f|</t>
  </si>
  <si>
    <t>https://climate-laws.org/rails/active_storage/blobs/eyJfcmFpbHMiOnsibWVzc2FnZSI6IkJBaHBBc1VKIiwiZXhwIjpudWxsLCJwdXIiOiJibG9iX2lkIn19--557e8bdd1116ed5bb4dc3a45048ffb1e02954978/f</t>
  </si>
  <si>
    <t>https://laws-lois.justice.gc.ca/eng/regulations/SOR-2010-189/index.html|en</t>
  </si>
  <si>
    <t>https://laws-lois.justice.gc.ca/eng/regulations/SOR-2010-189/index.html</t>
  </si>
  <si>
    <t>Greenhouse Gas Reporting Program Canada's Greenhouse Gas Quantification Requirements</t>
  </si>
  <si>
    <t>Programme</t>
  </si>
  <si>
    <t>https://climate-laws.org/rails/active_storage/blobs/eyJfcmFpbHMiOnsibWVzc2FnZSI6IkJBaHBBbVVNIiwiZXhwIjpudWxsLCJwdXIiOiJibG9iX2lkIn19--afbc5615d9a862f5ba90dd14768ff97f07098cc6/2017_GHGRP_Quantification_Requirements_EN_2017-12-21.pdf|en</t>
  </si>
  <si>
    <t>https://climate-laws.org/rails/active_storage/blobs/eyJfcmFpbHMiOnsibWVzc2FnZSI6IkJBaHBBbVVNIiwiZXhwIjpudWxsLCJwdXIiOiJibG9iX2lkIn19--afbc5615d9a862f5ba90dd14768ff97f07098cc6/2017_GHGRP_Quantification_Requirements_EN_2017-12-21.pdf</t>
  </si>
  <si>
    <t>About the Greenhouse Gas Reporting Program</t>
  </si>
  <si>
    <t>https://www.canada.ca/en/environment-climate-change/services/climate-change/greenhouse-gas-emissions/facility-reporting/about.html|en</t>
  </si>
  <si>
    <t>https://www.canada.ca/en/environment-climate-change/services/climate-change/greenhouse-gas-emissions/facility-reporting/about.html</t>
  </si>
  <si>
    <t>Just a web page providing additional information</t>
  </si>
  <si>
    <t>Regulations Limiting Carbon Dioxide Emissions from Natural Gas-fired Generation of Electricity (SOR/2018-261)</t>
  </si>
  <si>
    <t>https://laws-lois.justice.gc.ca/eng/regulations/SOR-2018-261/index.html|en</t>
  </si>
  <si>
    <t>https://laws-lois.justice.gc.ca/eng/regulations/SOR-2018-261/index.html</t>
  </si>
  <si>
    <t>Règlement limitant les émissions de dioxyde de carbone provenant de la production d'électricité thermique au gaz naturel (DORS/2018-261)</t>
  </si>
  <si>
    <t>https://laws-lois.justice.gc.ca/PDF/SOR-2018-261.pdf|en</t>
  </si>
  <si>
    <t>https://laws-lois.justice.gc.ca/PDF/SOR-2018-261.pdf</t>
  </si>
  <si>
    <t>Regulations Respecting Reduction in the Release of Methane and Certain Volatile Organic Compounds (Upstream Oil and Gas Sector) (SOR/2018-66)</t>
  </si>
  <si>
    <t>https://laws-lois.justice.gc.ca/eng/regulations/SOR-2018-66/index.html|en</t>
  </si>
  <si>
    <t>https://laws-lois.justice.gc.ca/eng/regulations/SOR-2018-66/index.html</t>
  </si>
  <si>
    <t>Règlement sur la réduction des rejets de méthane et de certains composés organiques volatils (secteur du pétrole et du gaz en amont) (DORS/2018-66)</t>
  </si>
  <si>
    <t>https://laws-lois.justice.gc.ca/PDF/SOR-2018-66.pdf|en</t>
  </si>
  <si>
    <t>https://laws-lois.justice.gc.ca/PDF/SOR-2018-66.pdf</t>
  </si>
  <si>
    <t>Fuel Charge Regulations (2018, c. 12, s. 187)</t>
  </si>
  <si>
    <t>https://laws-lois.justice.gc.ca/eng/regulations/SOR-2018-12187/index.html|en</t>
  </si>
  <si>
    <t>https://laws-lois.justice.gc.ca/eng/regulations/SOR-2018-12187/index.html</t>
  </si>
  <si>
    <t>Regulations Amending the Fuel Charge Regulations: SOR/2019-265</t>
  </si>
  <si>
    <t>http://www.gazette.gc.ca/rp-pr/p2/2019/2019-07-10/html/sor-dors265-eng.html|en</t>
  </si>
  <si>
    <t>http://www.gazette.gc.ca/rp-pr/p2/2019/2019-07-10/html/sor-dors265-eng.html</t>
  </si>
  <si>
    <t>Output-Based Pricing System Regulations (SOR/2019-266)</t>
  </si>
  <si>
    <t>https://laws-lois.justice.gc.ca/eng/regulations/SOR-2019-266/index.html|en</t>
  </si>
  <si>
    <t>https://laws-lois.justice.gc.ca/eng/regulations/SOR-2019-266/index.html</t>
  </si>
  <si>
    <t>Règlement sur le système de tarification fondé sur le rendement (DORS/2019-266)</t>
  </si>
  <si>
    <t>https://laws-lois.justice.gc.ca/PDF/SOR-2019-266.pdf|en</t>
  </si>
  <si>
    <t>https://laws-lois.justice.gc.ca/PDF/SOR-2019-266.pdf</t>
  </si>
  <si>
    <t>Locomotive Emissions Regulations (SOR/2017-121)</t>
  </si>
  <si>
    <t>https://laws-lois.justice.gc.ca/eng/regulations/SOR-2017-121/index.html|en</t>
  </si>
  <si>
    <t>https://laws-lois.justice.gc.ca/eng/regulations/SOR-2017-121/index.html</t>
  </si>
  <si>
    <t>Règlement sur les émissions des locomotives (DORS/2017-121)</t>
  </si>
  <si>
    <t>https://laws-lois.justice.gc.ca/PDF/SOR-2017-121.pdf|en</t>
  </si>
  <si>
    <t>https://laws-lois.justice.gc.ca/PDF/SOR-2017-121.pdf</t>
  </si>
  <si>
    <t>Règlement sur la pollution par les bâtiments et sur les produits chimiques dangereux (DORS/2012-69)</t>
  </si>
  <si>
    <t>Vessel Pollution and Dangerous Chemicals Regulations (SOR/2012-69)</t>
  </si>
  <si>
    <t>https://laws-lois.justice.gc.ca/PDF/SOR-2012-69.pdf|en</t>
  </si>
  <si>
    <t>https://laws-lois.justice.gc.ca/PDF/SOR-2012-69.pdf</t>
  </si>
  <si>
    <t>https://laws-lois.justice.gc.ca/eng/Regulations/SOR-2012-69/page-20.html#h-791364|en</t>
  </si>
  <si>
    <t>https://laws-lois.justice.gc.ca/eng/Regulations/SOR-2012-69/page-20.html#h-791364</t>
  </si>
  <si>
    <t>Link doesn't work</t>
  </si>
  <si>
    <t>Strategic Assessment of Climate Change Revised, October 2020</t>
  </si>
  <si>
    <t>Strategic Assessment</t>
  </si>
  <si>
    <t>https://www.canada.ca/en/services/environment/conservation/assessments/strategic-assessments/climate-change.html#toc3|en</t>
  </si>
  <si>
    <t>https://www.canada.ca/en/services/environment/conservation/assessments/strategic-assessments/climate-change.html#toc3</t>
  </si>
  <si>
    <t>Loi sur l'évaluation d'impact (L.C. 2019 ch. 28, art. 1)</t>
  </si>
  <si>
    <t>Impact Assessment Act (S.C. 2019, c. 28, s. 1)</t>
  </si>
  <si>
    <t>https://laws.justice.gc.ca/PDF/I-2.75.pdf|en</t>
  </si>
  <si>
    <t>https://laws.justice.gc.ca/PDF/I-2.75.pdf</t>
  </si>
  <si>
    <t>Statement by the Government of Canada on thermal coal mining</t>
  </si>
  <si>
    <t>Statement</t>
  </si>
  <si>
    <t>https://www.canada.ca/en/environment-climate-change/services/managing-pollution/energy-production/electricity-generation/statement-government-canada-thermal-coal-mining.html|en</t>
  </si>
  <si>
    <t>https://www.canada.ca/en/environment-climate-change/services/managing-pollution/energy-production/electricity-generation/statement-government-canada-thermal-coal-mining.html</t>
  </si>
  <si>
    <t>Web page version + statement (new document type?)</t>
  </si>
  <si>
    <t>2030 Emissions Reduction Plan - Canada’s Next Steps for Clean Air and a Strong Economy</t>
  </si>
  <si>
    <t>https://www.canada.ca/content/dam/eccc/documents/pdf/climate-change/erp/Canada-2030-Emissions-Reduction-Plan-eng.pdf|en</t>
  </si>
  <si>
    <t>https://www.canada.ca/content/dam/eccc/documents/pdf/climate-change/erp/Canada-2030-Emissions-Reduction-Plan-eng.pdf</t>
  </si>
  <si>
    <t>2030 Emissions Reduction Plan - Canada's Next Steps for Clean Air and a Strong Economy</t>
  </si>
  <si>
    <t>https://www.canada.ca/en/environment-climate-change/news/2022/03/2030-emissions-reduction-plan--canadas-next-steps-for-clean-air-and-a-strong-economy.html|en</t>
  </si>
  <si>
    <t>https://www.canada.ca/en/environment-climate-change/news/2022/03/2030-emissions-reduction-plan--canadas-next-steps-for-clean-air-and-a-strong-economy.html</t>
  </si>
  <si>
    <t>Vision 2030, The Chad We Want</t>
  </si>
  <si>
    <t>Chad</t>
  </si>
  <si>
    <t>TCD</t>
  </si>
  <si>
    <t>https://climate-laws.org/rails/active_storage/blobs/eyJfcmFpbHMiOnsibWVzc2FnZSI6IkJBaHBBa1VHIiwiZXhwIjpudWxsLCJwdXIiOiJibG9iX2lkIn19--b9f33e17aae6e1fc081bc37db23a00aad7e540ef/f|</t>
  </si>
  <si>
    <t>https://climate-laws.org/rails/active_storage/blobs/eyJfcmFpbHMiOnsibWVzc2FnZSI6IkJBaHBBa1VHIiwiZXhwIjpudWxsLCJwdXIiOiJibG9iX2lkIn19--b9f33e17aae6e1fc081bc37db23a00aad7e540ef/f</t>
  </si>
  <si>
    <t>Plan National de Développement 2017 - 2021</t>
  </si>
  <si>
    <t>https://climate-laws.org/rails/active_storage/blobs/eyJfcmFpbHMiOnsibWVzc2FnZSI6IkJBaHBBa1lHIiwiZXhwIjpudWxsLCJwdXIiOiJibG9iX2lkIn19--25e3b67df77e7af68c962c122a3e7c86243b40bc/f|</t>
  </si>
  <si>
    <t>https://climate-laws.org/rails/active_storage/blobs/eyJfcmFpbHMiOnsibWVzc2FnZSI6IkJBaHBBa1lHIiwiZXhwIjpudWxsLCJwdXIiOiJibG9iX2lkIn19--25e3b67df77e7af68c962c122a3e7c86243b40bc/f</t>
  </si>
  <si>
    <t>Ley Núm. 20.257 Introduce modificaciones a la ley general de servicios eléctricos respecto de la generación de energía eléctrica con fuentes de energía renovables no convencionales</t>
  </si>
  <si>
    <t>Chile</t>
  </si>
  <si>
    <t>CHL</t>
  </si>
  <si>
    <t>Spanish</t>
  </si>
  <si>
    <t>https://climate-laws.org/rails/active_storage/blobs/eyJfcmFpbHMiOnsibWVzc2FnZSI6IkJBaHBBdWNKIiwiZXhwIjpudWxsLCJwdXIiOiJibG9iX2lkIn19--354e032cb509d4435fbcc22dab7f60fada48fae0/f|es</t>
  </si>
  <si>
    <t>https://climate-laws.org/rails/active_storage/blobs/eyJfcmFpbHMiOnsibWVzc2FnZSI6IkJBaHBBdWNKIiwiZXhwIjpudWxsLCJwdXIiOiJibG9iX2lkIn19--354e032cb509d4435fbcc22dab7f60fada48fae0/f</t>
  </si>
  <si>
    <t>Resolución 1278 Exenta Establece normas para la adecuada implementación de la ley nº 20.257, que introdujo modificaciones a la ley general de servicios eléctricos respecto de la generación de energía eléctrica con fuentes de energías renovables no convencionales</t>
  </si>
  <si>
    <t>https://climate-laws.org/rails/active_storage/blobs/eyJfcmFpbHMiOnsibWVzc2FnZSI6IkJBaHBBb3dLIiwiZXhwIjpudWxsLCJwdXIiOiJibG9iX2lkIn19--4e1e2b722426be5cefd58b9007093c39af803acf/1307%20-%20regulation.pdf|es</t>
  </si>
  <si>
    <t>https://climate-laws.org/rails/active_storage/blobs/eyJfcmFpbHMiOnsibWVzc2FnZSI6IkJBaHBBb3dLIiwiZXhwIjpudWxsLCJwdXIiOiJibG9iX2lkIn19--4e1e2b722426be5cefd58b9007093c39af803acf/1307%20-%20regulation.pdf</t>
  </si>
  <si>
    <t>Ley Núm. 20.780 Reforma tributaria que modifica el sistema de tributación de le renta e introduce diversos ajustes en el sistema tributario</t>
  </si>
  <si>
    <t>Law No. 20.780 Tax reform that modifies the income tax system and introduces various adjustments in the tax system</t>
  </si>
  <si>
    <t>https://climate-laws.org/rails/active_storage/blobs/eyJfcmFpbHMiOnsibWVzc2FnZSI6IkJBaHBBaTBHIiwiZXhwIjpudWxsLCJwdXIiOiJibG9iX2lkIn19--9f5b4737d19220ab217631ece67e086398d3df3e/f|es</t>
  </si>
  <si>
    <t>https://climate-laws.org/rails/active_storage/blobs/eyJfcmFpbHMiOnsibWVzc2FnZSI6IkJBaHBBaTBHIiwiZXhwIjpudWxsLCJwdXIiOiJibG9iX2lkIn19--9f5b4737d19220ab217631ece67e086398d3df3e/f</t>
  </si>
  <si>
    <t>Ley Núm. 21.210 Moderniza la legislación tributaria</t>
  </si>
  <si>
    <t>https://www.leychile.cl/Navegar?idNorma=1142667|es</t>
  </si>
  <si>
    <t>https://www.leychile.cl/Navegar?idNorma=1142667</t>
  </si>
  <si>
    <t>Decreto 1 Aprueba reglamento del registro de emisiones y transferencias de contaminantes, RETC</t>
  </si>
  <si>
    <t>https://climate-laws.org/rails/active_storage/blobs/eyJfcmFpbHMiOnsibWVzc2FnZSI6IkJBaHBBamdGIiwiZXhwIjpudWxsLCJwdXIiOiJibG9iX2lkIn19--ca23b2684f0cd122ce943b8cfd20614c818208b3/f|</t>
  </si>
  <si>
    <t>https://climate-laws.org/rails/active_storage/blobs/eyJfcmFpbHMiOnsibWVzc2FnZSI6IkJBaHBBamdGIiwiZXhwIjpudWxsLCJwdXIiOiJibG9iX2lkIn19--ca23b2684f0cd122ce943b8cfd20614c818208b3/f</t>
  </si>
  <si>
    <t>Se publica en Diario Oficial la modificación del Reglamento RETC</t>
  </si>
  <si>
    <t>http://www.retc.cl/se-publica-en-diario-oficial-la-modificacion-del-reglamento-retc/|</t>
  </si>
  <si>
    <t>http://www.retc.cl/se-publica-en-diario-oficial-la-modificacion-del-reglamento-retc/</t>
  </si>
  <si>
    <t>Web page - looks like a press statement</t>
  </si>
  <si>
    <t>国家适应气候变化战略</t>
  </si>
  <si>
    <t>National Climate Change Adaptation Strategy</t>
  </si>
  <si>
    <t>China</t>
  </si>
  <si>
    <t>CHN</t>
  </si>
  <si>
    <t>Chinese</t>
  </si>
  <si>
    <t>https://climate-laws.org/rails/active_storage/blobs/eyJfcmFpbHMiOnsibWVzc2FnZSI6IkJBaHBBdXNKIiwiZXhwIjpudWxsLCJwdXIiOiJibG9iX2lkIn19--0247f14fe7ec67e14b10dce599bfff3764e95a4c/f|</t>
  </si>
  <si>
    <t>https://climate-laws.org/rails/active_storage/blobs/eyJfcmFpbHMiOnsibWVzc2FnZSI6IkJBaHBBdXNKIiwiZXhwIjpudWxsLCJwdXIiOiJibG9iX2lkIn19--0247f14fe7ec67e14b10dce599bfff3764e95a4c/f</t>
  </si>
  <si>
    <t>生态环境部召开部常务会议</t>
  </si>
  <si>
    <t>http://www.mee.gov.cn/ywdt/hjywnews/202202/t20220218_969440.shtml|zh</t>
  </si>
  <si>
    <t>http://www.mee.gov.cn/ywdt/hjywnews/202202/t20220218_969440.shtml</t>
  </si>
  <si>
    <t xml:space="preserve">中华人民共和国可再生能源法 [已被修订]
</t>
  </si>
  <si>
    <t>Renewable Energy Law of the People's Republic of China (Revised)</t>
  </si>
  <si>
    <t>https://climate-laws.org/rails/active_storage/blobs/eyJfcmFpbHMiOnsibWVzc2FnZSI6IkJBaHBBdUVKIiwiZXhwIjpudWxsLCJwdXIiOiJibG9iX2lkIn19--e01afcd0906a009f99060c7a25b26a83bad1bb12/f|</t>
  </si>
  <si>
    <t>https://climate-laws.org/rails/active_storage/blobs/eyJfcmFpbHMiOnsibWVzc2FnZSI6IkJBaHBBdUVKIiwiZXhwIjpudWxsLCJwdXIiOiJibG9iX2lkIn19--e01afcd0906a009f99060c7a25b26a83bad1bb12/f</t>
  </si>
  <si>
    <t>国家能源局关于2021年风电、光伏发电 开发建设有关事项的通知</t>
  </si>
  <si>
    <t>http://zfxxgk.nea.gov.cn/2021-05/11/c_139958210.htm|zh</t>
  </si>
  <si>
    <t>http://zfxxgk.nea.gov.cn/2021-05/11/c_139958210.htm</t>
  </si>
  <si>
    <t>中华人民共和国国民经济和社会发展第十四个五年规划和2035年远景目标纲要</t>
  </si>
  <si>
    <t>The 14th Five-Year Plan for National Economic and Social Development of the People's Republic of China and Outline of the Vision for 2035</t>
  </si>
  <si>
    <t>http://www.gov.cn/xinwen/2021-03/13/content_5592681.htm|zh</t>
  </si>
  <si>
    <t>http://www.gov.cn/xinwen/2021-03/13/content_5592681.htm</t>
  </si>
  <si>
    <t>Outline of the People's Republic of China 14th Five-Year Plan for National Economic and Social Development and Long-Range Objectives for 2035</t>
  </si>
  <si>
    <t>https://climate-laws.org/rails/active_storage/blobs/eyJfcmFpbHMiOnsibWVzc2FnZSI6IkJBaHBBaEFPIiwiZXhwIjpudWxsLCJwdXIiOiJibG9iX2lkIn19--25e625bb83015cd75273d89730f349aa695ea5f9/t0284_14th_Five_Year_Plan_EN.pdf|en</t>
  </si>
  <si>
    <t>https://climate-laws.org/rails/active_storage/blobs/eyJfcmFpbHMiOnsibWVzc2FnZSI6IkJBaHBBaEFPIiwiZXhwIjpudWxsLCJwdXIiOiJibG9iX2lkIn19--25e625bb83015cd75273d89730f349aa695ea5f9/t0284_14th_Five_Year_Plan_EN.pdf</t>
  </si>
  <si>
    <t>New development plan for NEVs unveiled</t>
  </si>
  <si>
    <t>http://english.www.gov.cn/policies/latestreleases/202011/02/content_WS5f9ff225c6d0f7257693ece2.html|en</t>
  </si>
  <si>
    <t>http://english.www.gov.cn/policies/latestreleases/202011/02/content_WS5f9ff225c6d0f7257693ece2.html</t>
  </si>
  <si>
    <t>附件: 2020年新能源汽车推广补贴方案及产品技术要求</t>
  </si>
  <si>
    <t>Annex</t>
  </si>
  <si>
    <t>http://www.gov.cn/zhengce/zhengceku/2020-04/23/5505502/files/f5fc2592b25e4ff3a5ba01770dd5842e.pdf|zh</t>
  </si>
  <si>
    <t>http://www.gov.cn/zhengce/zhengceku/2020-04/23/5505502/files/f5fc2592b25e4ff3a5ba01770dd5842e.pdf</t>
  </si>
  <si>
    <t>Looks like an Appendix - need this for a document_type value</t>
  </si>
  <si>
    <t>关于完善新能源汽车推广应用财政补贴政策的通知 财建〔2020〕86号</t>
  </si>
  <si>
    <t>http://www.gov.cn/zhengce/zhengceku/2020-04/23/content_5505502.htm|zh</t>
  </si>
  <si>
    <t>http://www.gov.cn/zhengce/zhengceku/2020-04/23/content_5505502.htm</t>
  </si>
  <si>
    <t>Translates as "Notice" - similar to a press statement? Web page version</t>
  </si>
  <si>
    <t>国家发展改革委关于印发《污染治理和节能减碳 中央预算内投资专项管理办法》的通知</t>
  </si>
  <si>
    <t>https://www.ndrc.gov.cn/xxgk/zcfb/ghxwj/202105/t20210518_1280099.html|zh</t>
  </si>
  <si>
    <t>https://www.ndrc.gov.cn/xxgk/zcfb/ghxwj/202105/t20210518_1280099.html</t>
  </si>
  <si>
    <t>附件 : 污染治理和节能减碳中央预算内投资 专项管理办法</t>
  </si>
  <si>
    <t>https://www.ndrc.gov.cn/xxgk/zcfb/ghxwj/202105/P020210518546042625573.pdf|zh</t>
  </si>
  <si>
    <t>https://www.ndrc.gov.cn/xxgk/zcfb/ghxwj/202105/P020210518546042625573.pdf</t>
  </si>
  <si>
    <t>Looks like an Appendix; also no date</t>
  </si>
  <si>
    <t>Action Plan for Carbon Dioxide Peaking before 2030</t>
  </si>
  <si>
    <t>https://en.ndrc.gov.cn/policies/202110/t20211027_1301020.html|en</t>
  </si>
  <si>
    <t>https://en.ndrc.gov.cn/policies/202110/t20211027_1301020.html</t>
  </si>
  <si>
    <t>Working Guidance for Carbon Dioxide Peaking and Carbon Neutrality in Full and Faithful Implementation of the New Development Philosophy</t>
  </si>
  <si>
    <t>https://climate-laws.org/rails/active_storage/blobs/eyJfcmFpbHMiOnsibWVzc2FnZSI6IkJBaHBBb2tPIiwiZXhwIjpudWxsLCJwdXIiOiJibG9iX2lkIn19--fd46d4069047e7b34fbfce8db1823e2d6243cd4f/fulltext.docx|en</t>
  </si>
  <si>
    <t>https://climate-laws.org/rails/active_storage/blobs/eyJfcmFpbHMiOnsibWVzc2FnZSI6IkJBaHBBb2tPIiwiZXhwIjpudWxsLCJwdXIiOiJibG9iX2lkIn19--fd46d4069047e7b34fbfce8db1823e2d6243cd4f/fulltext.docx</t>
  </si>
  <si>
    <t>Word document; no date; this is a guidance document - new document type?</t>
  </si>
  <si>
    <t>Electric Power Law of the People's Republic of China</t>
  </si>
  <si>
    <t>http://www.npc.gov.cn/zgrdw/englishnpc/Law/2007-12/12/content_1383731.htm|en</t>
  </si>
  <si>
    <t>http://www.npc.gov.cn/zgrdw/englishnpc/Law/2007-12/12/content_1383731.htm</t>
  </si>
  <si>
    <t>text/html; charset=ISO-88509-1</t>
  </si>
  <si>
    <t>中华人民共和国电力法(2018修正)</t>
  </si>
  <si>
    <t>Electric Power Law of the People's Republic of China (2018 Amendment)</t>
  </si>
  <si>
    <t>http://www.lawinfochina.com/display.aspx?id=29714&amp;lib=law|zh</t>
  </si>
  <si>
    <t>http://www.lawinfochina.com/display.aspx?id=29714&amp;lib=law</t>
  </si>
  <si>
    <t>text/html; charset=gb2312</t>
  </si>
  <si>
    <t>Web page version; two names, as it's bilingual</t>
  </si>
  <si>
    <t>国家发展改革委等部门关于 印发《促进绿色消费实施方案》的通知</t>
  </si>
  <si>
    <t>https://www.ndrc.gov.cn/xxgk/zcfb/tz/202201/t20220121_1312524.html?code=&amp;state=123|zh</t>
  </si>
  <si>
    <t>https://www.ndrc.gov.cn/xxgk/zcfb/tz/202201/t20220121_1312524.html?code=&amp;state=123</t>
  </si>
  <si>
    <t>促进绿色消费实施方案</t>
  </si>
  <si>
    <t xml:space="preserve">Implementation plan on promoting green consumption </t>
  </si>
  <si>
    <t>https://www.ndrc.gov.cn/xxgk/zcfb/tz/202201/P020220121303032255690.pdf|zh</t>
  </si>
  <si>
    <t>https://www.ndrc.gov.cn/xxgk/zcfb/tz/202201/P020220121303032255690.pdf</t>
  </si>
  <si>
    <t>No date</t>
  </si>
  <si>
    <t>关于2021年国民经济和社会发展计划执行情况与 2022年国民经济和社会发展计划草案的报告</t>
  </si>
  <si>
    <t>http://www.gov.cn/xinwen/2022-03/13/content_5678833.htm|zh</t>
  </si>
  <si>
    <t>http://www.gov.cn/xinwen/2022-03/13/content_5678833.htm</t>
  </si>
  <si>
    <t>Web page version of report 2 rows below</t>
  </si>
  <si>
    <t>十三届全国人大五次会议表决通过关于2021年国民经 济和社会发展计划执行情况与2022年国民经济和社会 发展计划的决议 批准2022年国民经济和社会发展计 划</t>
  </si>
  <si>
    <t>http://www.gov.cn/xinwen/2022-03/11/content_5678443.htm|zh</t>
  </si>
  <si>
    <t>http://www.gov.cn/xinwen/2022-03/11/content_5678443.htm</t>
  </si>
  <si>
    <t>Web page; looks like a press statement</t>
  </si>
  <si>
    <t>Report on the Implementation of the 2021 Plan for National Economic and Social Development and on the 2022 Draft Plan for National Economic and Social Development</t>
  </si>
  <si>
    <t>https://climate-laws.org/rails/active_storage/blobs/eyJfcmFpbHMiOnsibWVzc2FnZSI6IkJBaHBBdTRPIiwiZXhwIjpudWxsLCJwdXIiOiJibG9iX2lkIn19--cf855e6bdf7bb30ebeecf0ee9f0b62db19234a1d/ENG-NDRC-REPORT-2022-ENG.pdf|en</t>
  </si>
  <si>
    <t>https://climate-laws.org/rails/active_storage/blobs/eyJfcmFpbHMiOnsibWVzc2FnZSI6IkJBaHBBdTRPIiwiZXhwIjpudWxsLCJwdXIiOiJibG9iX2lkIn19--cf855e6bdf7bb30ebeecf0ee9f0b62db19234a1d/ENG-NDRC-REPORT-2022-ENG.pdf</t>
  </si>
  <si>
    <t>Report - new document type?</t>
  </si>
  <si>
    <t>一图读懂 | 氢能产业发展中长期规划（2021-2035年）</t>
  </si>
  <si>
    <t>https://www.ndrc.gov.cn/xxgk/jd/zctj/202203/t20220323_1320046.html?code=&amp;state=123|zh</t>
  </si>
  <si>
    <t>https://www.ndrc.gov.cn/xxgk/jd/zctj/202203/t20220323_1320046.html?code=&amp;state=123</t>
  </si>
  <si>
    <r>
      <rPr>
        <rFont val="Calibri"/>
        <color theme="1"/>
        <sz val="10.0"/>
      </rPr>
      <t>氢能产业发展中长期规划（2021-2035年</t>
    </r>
    <r>
      <rPr>
        <rFont val="Calibri"/>
        <color theme="1"/>
        <sz val="10.0"/>
      </rPr>
      <t>）</t>
    </r>
  </si>
  <si>
    <t>Medium- and long-term plan for the development of the hydrogen energy industry (2021-2035)</t>
  </si>
  <si>
    <t>https://climate-laws.org/rails/active_storage/blobs/eyJfcmFpbHMiOnsibWVzc2FnZSI6IkJBaHBBdllPIiwiZXhwIjpudWxsLCJwdXIiOiJibG9iX2lkIn19--ab54f5f9069ccbcb15bc11f2b360d28a5c14eec1/P020220323314396580505.pdf|zh</t>
  </si>
  <si>
    <t>https://climate-laws.org/rails/active_storage/blobs/eyJfcmFpbHMiOnsibWVzc2FnZSI6IkJBaHBBdllPIiwiZXhwIjpudWxsLCJwdXIiOiJibG9iX2lkIn19--ab54f5f9069ccbcb15bc11f2b360d28a5c14eec1/P020220323314396580505.pdf</t>
  </si>
  <si>
    <t>“十四五”现代能源体系规划</t>
  </si>
  <si>
    <t>"14th Five-Year" Plan on Modern Energy System Planning</t>
  </si>
  <si>
    <t>https://climate-laws.org/rails/active_storage/blobs/eyJfcmFpbHMiOnsibWVzc2FnZSI6IkJBaHBBdThPIiwiZXhwIjpudWxsLCJwdXIiOiJibG9iX2lkIn19--1f5df42b6e59d8e53a177b3ee3a047f7ee551176/P020220322582066837126.pdf|zh</t>
  </si>
  <si>
    <t>https://climate-laws.org/rails/active_storage/blobs/eyJfcmFpbHMiOnsibWVzc2FnZSI6IkJBaHBBdThPIiwiZXhwIjpudWxsLCJwdXIiOiJibG9iX2lkIn19--1f5df42b6e59d8e53a177b3ee3a047f7ee551176/P020220322582066837126.pdf</t>
  </si>
  <si>
    <t>https://climate-laws.org/rails/active_storage/blobs/eyJfcmFpbHMiOnsibWVzc2FnZSI6IkJBaHBBdkFPIiwiZXhwIjpudWxsLCJwdXIiOiJibG9iX2lkIn19--51fdb1cf68ee0cad66a1434f674c64f4eeb18147/P020220322582066837126-2.pdf|en</t>
  </si>
  <si>
    <t>https://climate-laws.org/rails/active_storage/blobs/eyJfcmFpbHMiOnsibWVzc2FnZSI6IkJBaHBBdkFPIiwiZXhwIjpudWxsLCJwdXIiOiJibG9iX2lkIn19--51fdb1cf68ee0cad66a1434f674c64f4eeb18147/P020220322582066837126-2.pdf</t>
  </si>
  <si>
    <t>Colombia</t>
  </si>
  <si>
    <t>COL</t>
  </si>
  <si>
    <t>https://www.minambiente.gov.co/index.php/component/content/article/469-plantilla-cambio-climatico-25#estrategia-colombiana-de-desarrollo-bajo-en-carbono|es</t>
  </si>
  <si>
    <t>https://www.minambiente.gov.co/index.php/component/content/article/469-plantilla-cambio-climatico-25#estrategia-colombiana-de-desarrollo-bajo-en-carbono</t>
  </si>
  <si>
    <t>https://www.minambiente.gov.co/images/cambioclimatico/pdf/Estrategia_Colombiana_de_Desarrollo_Bajo_en_Carbono/FOLLETO_DE_PRESENTACION_ECDBC.pdf|es</t>
  </si>
  <si>
    <t>https://www.minambiente.gov.co/images/cambioclimatico/pdf/Estrategia_Colombiana_de_Desarrollo_Bajo_en_Carbono/FOLLETO_DE_PRESENTACION_ECDBC.pdf</t>
  </si>
  <si>
    <t>Decreto 1625 de 2016</t>
  </si>
  <si>
    <t>https://climate-laws.org/rails/active_storage/blobs/eyJfcmFpbHMiOnsibWVzc2FnZSI6IkJBaHBBcU1IIiwiZXhwIjpudWxsLCJwdXIiOiJibG9iX2lkIn19--0a43d7169bc16bb39b0e60181082d411f53a8d3d/f|es</t>
  </si>
  <si>
    <t>https://climate-laws.org/rails/active_storage/blobs/eyJfcmFpbHMiOnsibWVzc2FnZSI6IkJBaHBBcU1IIiwiZXhwIjpudWxsLCJwdXIiOiJibG9iX2lkIn19--0a43d7169bc16bb39b0e60181082d411f53a8d3d/f</t>
  </si>
  <si>
    <t>Decreto 926 Por el cual se modifica el epígrafe de la Parte 5 y se adiciona el Título 5 a la Parte 5 del Libro 1 del Decreto 1625 de 2016 Único Reglamentario en Materia Tributaria y el Título 11 de la Parte 2 de Libro 2 al Decreto 1076 de 2015 Único Reglamentario del Sector Ambiente y Desarrollo Sostenible, para reglamentar el parágrafo 3 del artículo 221 y el parágrafo 2 del artículo 222 de la Ley 1819 de 2016</t>
  </si>
  <si>
    <t>https://climate-laws.org/rails/active_storage/blobs/eyJfcmFpbHMiOnsibWVzc2FnZSI6IkJBaHBBcVFIIiwiZXhwIjpudWxsLCJwdXIiOiJibG9iX2lkIn19--87e4f4994feb7330874ff8aabac35bee87f23a00/f|es</t>
  </si>
  <si>
    <t>https://climate-laws.org/rails/active_storage/blobs/eyJfcmFpbHMiOnsibWVzc2FnZSI6IkJBaHBBcVFIIiwiZXhwIjpudWxsLCJwdXIiOiJibG9iX2lkIn19--87e4f4994feb7330874ff8aabac35bee87f23a00/f</t>
  </si>
  <si>
    <t>Ley 1819 de 2016 por medio de la cual se adopta una reforma tributaria estructural, se fortalecen los mecanismos para la luncha contra la evasión y la elusión fiscal, y se dictan otras disposiciones</t>
  </si>
  <si>
    <r>
      <rPr>
        <rFont val="Calibri"/>
        <color rgb="FF1155CC"/>
        <sz val="10.0"/>
        <u/>
      </rPr>
      <t>https://climate-laws.org/rails/active_storage/blobs/eyJfcmFpbHMiOnsibWVzc2FnZSI6IkJBaHBBdGtMIiwiZXhwIjpudWxsLCJwdXIiOiJibG9iX2lkIn19--1d54709131241722b759740612931990c8edee1a/Ley-1819-29-dic-16-Reforma-Tributaria-Diario-Oficial-50101.pdf</t>
    </r>
    <r>
      <rPr>
        <rFont val="Calibri"/>
        <color rgb="FF000000"/>
        <sz val="10.0"/>
      </rPr>
      <t>|es</t>
    </r>
  </si>
  <si>
    <t>https://climate-laws.org/rails/active_storage/blobs/eyJfcmFpbHMiOnsibWVzc2FnZSI6IkJBaHBBdGtMIiwiZXhwIjpudWxsLCJwdXIiOiJibG9iX2lkIn19--1d54709131241722b759740612931990c8edee1a/Ley-1819-29-dic-16-Reforma-Tributaria-Diario-Oficial-50101.pdf</t>
  </si>
  <si>
    <t>Decreto 308 de 2016 por medio del cual se adopta el Plan Nacional de Gestión de Riesgo de Desastres</t>
  </si>
  <si>
    <t>http://www.suin-juriscol.gov.co/viewDocument.asp?ruta=Decretos/30022853 |es</t>
  </si>
  <si>
    <t>http://www.suin-juriscol.gov.co/viewDocument.asp?ruta=Decretos/30022853</t>
  </si>
  <si>
    <t>Web page version of row below's PDF</t>
  </si>
  <si>
    <t>Decreto Número 308 de 2016 Por medio del cual se adopta el Plan Nacional de Gestión de Riesgo de Desastres</t>
  </si>
  <si>
    <r>
      <rPr>
        <rFont val="Calibri"/>
        <color rgb="FF1155CC"/>
        <sz val="10.0"/>
        <u/>
      </rPr>
      <t>https://climate-laws.org/rails/active_storage/blobs/eyJfcmFpbHMiOnsibWVzc2FnZSI6IkJBaHBBak1LIiwiZXhwIjpudWxsLCJwdXIiOiJibG9iX2lkIn19--a997062a4b09d825adf81d7d6ff6720c5df7ca9e/DECRETO%20308%20DEL%2024%20DE%20FEBRERO%20DE%202016.pdf</t>
    </r>
    <r>
      <rPr>
        <rFont val="Calibri"/>
        <color rgb="FF000000"/>
        <sz val="10.0"/>
      </rPr>
      <t>|es;</t>
    </r>
  </si>
  <si>
    <t>https://climate-laws.org/rails/active_storage/blobs/eyJfcmFpbHMiOnsibWVzc2FnZSI6IkJBaHBBak1LIiwiZXhwIjpudWxsLCJwdXIiOiJibG9iX2lkIn19--a997062a4b09d825adf81d7d6ff6720c5df7ca9e/DECRETO%20308%20DEL%2024%20DE%20FEBRERO%20DE%202016.pdf</t>
  </si>
  <si>
    <t>Decreto 308 de 2016</t>
  </si>
  <si>
    <t>http://www.lse.ac.uk/GranthamInstitute/wp-content/uploads/2019/08/Dec_308_2016.pdf|es</t>
  </si>
  <si>
    <t>http://www.lse.ac.uk/GranthamInstitute/wp-content/uploads/2019/08/Dec_308_2016.pdf</t>
  </si>
  <si>
    <t>Seems to be pretty much the same content as the above row's PDF</t>
  </si>
  <si>
    <t>Estrategia Nacional de Cambio Climático - Estrategia de largo plazo de Colombia - E2050</t>
  </si>
  <si>
    <t>https://cambioclimatico.mma.gob.cl/wp-content/uploads/2020/05/20200518_Estrategia-Clim%C3%A1tica-Largo-Plazo-2050_COLOMBIA.pdf|es</t>
  </si>
  <si>
    <t>https://cambioclimatico.mma.gob.cl/wp-content/uploads/2020/05/20200518_Estrategia-Clim%C3%A1tica-Largo-Plazo-2050_COLOMBIA.pdf</t>
  </si>
  <si>
    <t>E2050 Colombia</t>
  </si>
  <si>
    <t>https://e2050colombia.com/|</t>
  </si>
  <si>
    <t>https://e2050colombia.com/</t>
  </si>
  <si>
    <t>Resolución Número 4-0590 Por la cual se define e implementa un mecanismo que promueva la contratación de largo plazo para proyectos de generación de energía eléctrica complementario a los mecanismos existentes en el Mercado de Energía Mayorista en cumplimiento de los objetivos establecidos en el Decreto 0570 de 2018</t>
  </si>
  <si>
    <t>https://www.minenergia.gov.co/documents/10180/23517/48155-res.+4+0590+del+9-7-20192019-07-09-120048+%281%29.pdf|es</t>
  </si>
  <si>
    <t>https://www.minenergia.gov.co/documents/10180/23517/48155-res.+4+0590+del+9-7-20192019-07-09-120048+%281%29.pdf</t>
  </si>
  <si>
    <t>Resolución 40141 Por la cual se modifica la Resolución MME 4 0590 de 2019</t>
  </si>
  <si>
    <t>https://www.minenergia.gov.co/documents/10180/23517/48939-40141.pdf|es</t>
  </si>
  <si>
    <t>https://www.minenergia.gov.co/documents/10180/23517/48939-40141.pdf</t>
  </si>
  <si>
    <t>Resolución Número 40179 Por la cual se convoca a la subasta de contratación de largo plazo para proyectos de generación de energía eléctrica y se definen los parámetros de su aplicación</t>
  </si>
  <si>
    <t>https://www.minenergia.gov.co/documents/10180/23517/48961-40179.pdf|es</t>
  </si>
  <si>
    <t>https://www.minenergia.gov.co/documents/10180/23517/48961-40179.pdf</t>
  </si>
  <si>
    <t>Ley 1083 de 2006 por medio de la cual se establecen algunas normas sobre planeación urbana sostenible y se dictan otras disposiciones</t>
  </si>
  <si>
    <t>https://www.funcionpublica.gov.co/eva/gestornormativo/norma.php?i=20869|es</t>
  </si>
  <si>
    <t>https://www.funcionpublica.gov.co/eva/gestornormativo/norma.php?i=20869</t>
  </si>
  <si>
    <t>Decreto 798 de 2010 Por medio del cual se reglamenta parcialmente la Ley 1083 de 2006</t>
  </si>
  <si>
    <t>https://www.funcionpublica.gov.co/eva/gestornormativo/norma.php?i=39179#0|es</t>
  </si>
  <si>
    <t>https://www.funcionpublica.gov.co/eva/gestornormativo/norma.php?i=39179#0</t>
  </si>
  <si>
    <t>Kaveinga Tapapa Climate &amp; Disaster Compatible Development Policy 2013 - 2016</t>
  </si>
  <si>
    <t>Cook Islands</t>
  </si>
  <si>
    <t>COK</t>
  </si>
  <si>
    <t>http://www.mfem.gov.ck/images/Climate__Disaster_Compatible_Development_Policy_Final_copy.pdf|en</t>
  </si>
  <si>
    <t>http://www.mfem.gov.ck/images/Climate__Disaster_Compatible_Development_Policy_Final_copy.pdf</t>
  </si>
  <si>
    <t>http://www.lse.ac.uk/GranthamInstitute/wp-content/uploads/2018/04/Cook-islands-policy-2013-16.pdf|en</t>
  </si>
  <si>
    <t>http://www.lse.ac.uk/GranthamInstitute/wp-content/uploads/2018/04/Cook-islands-policy-2013-16.pdf</t>
  </si>
  <si>
    <t>Exactly the same as the above document</t>
  </si>
  <si>
    <t>Decreto Ejecutivo : 35091 del 09/01/2009 Reglamento de Biocombustibles</t>
  </si>
  <si>
    <t>Costa Rica</t>
  </si>
  <si>
    <t>CRI</t>
  </si>
  <si>
    <t>http://www.lse.ac.uk/GranthamInstitute/wp-content/uploads/laws/1128.pdf|es</t>
  </si>
  <si>
    <t>http://www.lse.ac.uk/GranthamInstitute/wp-content/uploads/laws/1128.pdf</t>
  </si>
  <si>
    <t>Reglamento de Biocombustibles líquidos y sus mezclas</t>
  </si>
  <si>
    <t>https://climate-laws.org/rails/active_storage/blobs/eyJfcmFpbHMiOnsibWVzc2FnZSI6IkJBaHBBbjhLIiwiZXhwIjpudWxsLCJwdXIiOiJibG9iX2lkIn19--9a61b3f75c25f6825c440627756d95c7982720d9/1128new%20decree%20of%202016.pdf|es</t>
  </si>
  <si>
    <t>https://climate-laws.org/rails/active_storage/blobs/eyJfcmFpbHMiOnsibWVzc2FnZSI6IkJBaHBBbjhLIiwiZXhwIjpudWxsLCJwdXIiOiJibG9iX2lkIn19--9a61b3f75c25f6825c440627756d95c7982720d9/1128new%20decree%20of%202016.pdf</t>
  </si>
  <si>
    <t>Decree 10.431/2020 and associated documents promoting a low carbon development in the agriculture sector</t>
  </si>
  <si>
    <t>Agriculture;Rural</t>
  </si>
  <si>
    <t>20/07/2020|Approved||</t>
  </si>
  <si>
    <t>Link to full text on official website|https://www.in.gov.br/en/web/dou/-/decreto-n-10.431-de-20-de-julho-de-2020-267731155|pt;Link to resolution 3.896/2010|https://www.bcb.gov.br/pre/normativos/busca/downloadNormativo.asp?arquivo=/Lists/Normativos/Attachments/49552/Res_3896_v1_O.pdf|pt;Link to interministerial ordinance 984/2013|https://diariofiscal.com.br/ZpNbw3dk20XgIKXVGacL5NS8haIoH5PqbJKZaawfaDwCm/legislacaofederal/portaria/2013/mapa-mda.984.htm|pt;Link to ordinance 230/2015|https://antigo.mctic.gov.br/mctic/opencms/legislacao/portarias/migracao/Portaria_MAPA_n_230_de_21102015.html|pt</t>
  </si>
  <si>
    <t>Decree 9.888 on targets of reduction of GHG emissions and establishing the RenovaBio Committee</t>
  </si>
  <si>
    <t>Institutional mandates|Governance;Processes, plans and strategies|Governance</t>
  </si>
  <si>
    <t>Fuels</t>
  </si>
  <si>
    <t>12/06/2019|resolution passed||;27/06/2019|Approved||</t>
  </si>
  <si>
    <t>full text|http://www.planalto.gov.br/ccivil_03/_ato2019-2022/2019/decreto/D9888.htm|pt;Resolution 791|https://www.in.gov.br/web/dou/-/resolucao-n-791-de-12-de-junho-de-2019-163598743|pt</t>
  </si>
  <si>
    <t>MCT/MMA Interministerial Ordinance No. 356 establishing the Brazilian Panel on Climate Change (PMBC)</t>
  </si>
  <si>
    <t>Institutional mandates|Governance;Education, training and knowledge dissemination|Information;Research &amp; Development, knowledge generation|Information</t>
  </si>
  <si>
    <t>25/09/2009|Approved||</t>
  </si>
  <si>
    <t>full text|https://cetesb.sp.gov.br/proclima/wp-content/uploads/sites/36/2018/01/portaria_interministerial_mct_356.pdf|pt;Link to PMBC page|http://www.ccst.inpe.br/projetos/pbmc/|pt</t>
  </si>
  <si>
    <t>Ordinance MMA 370/2015 approving the REDD+ strategy (ENREDD+)</t>
  </si>
  <si>
    <t>Nature based solutions and ecosystem restoration|Direct Investment;Processes, plans and strategies|Governance</t>
  </si>
  <si>
    <t>carbon sink</t>
  </si>
  <si>
    <t>02/12/2015|Approved||</t>
  </si>
  <si>
    <t>Full text|https://pesquisa.in.gov.br/imprensa/jsp/visualiza/index.jsp?jornal=1&amp;pagina=90&amp;data=03/12/2015|pt;Full text of ENREDD+ strategy|http://redd.mma.gov.br/images/publicacoes/enredd_documento_web.pdf|pt</t>
  </si>
  <si>
    <t>Brunei Darussalam National Climate Change Policy 2020</t>
  </si>
  <si>
    <t>Provision of climate funds|Direct Investment;Nature based solutions and ecosystem restoration|Direct Investment;Processes, plans and strategies|Governance;Education, training and knowledge dissemination|Information</t>
  </si>
  <si>
    <t>15/07/2019|Approved||</t>
  </si>
  <si>
    <t>Dedicated webpage on official website 1|http://climatechange.gov.bn/Theme/Index.aspx|;Dedicated webpage on official website 2|http://www.climatechange.gov.bn/SitePages/Pages/Home.aspx|</t>
  </si>
  <si>
    <t>Capacity building|Governance;Institutional mandates|Governance;Processes, plans and strategies|Governance</t>
  </si>
  <si>
    <t>Adaptation;Institutions / Administrative Arrangements;Carbon Pricing;Energy Supply;Energy Demand;Transportation</t>
  </si>
  <si>
    <t>11/03/2014|Law passed||</t>
  </si>
  <si>
    <t>full text (pdf)|http://www.lse.ac.uk/GranthamInstitute/wp-content/uploads/laws/1101.pdf|bg;english translation (pdf)|https://climate-laws.org/rails/active_storage/blobs/eyJfcmFpbHMiOnsibWVzc2FnZSI6IkJBaHBBbmdLIiwiZXhwIjpudWxsLCJwdXIiOiJibG9iX2lkIn19--74e282cbe198753c6e1758ba51228d5ded8aee42/1101ENtranslation.pdf|en</t>
  </si>
  <si>
    <t>Forestry Act and National Strategy for the Development of the Forest Sector 2013-2020</t>
  </si>
  <si>
    <t>Law;Strategy</t>
  </si>
  <si>
    <t>LULUCF;Transportation;Water</t>
  </si>
  <si>
    <t>08/03/2011|Law passed;25/07/2014|Last amended</t>
  </si>
  <si>
    <t>full text (pdf)|http://www.lse.ac.uk/GranthamInstitute/wp-content/uploads/laws/1102.pdf|bg;English translation (pdf)|https://climate-laws.org/rails/active_storage/blobs/eyJfcmFpbHMiOnsibWVzc2FnZSI6IkJBaHBBbmtLIiwiZXhwIjpudWxsLCJwdXIiOiJibG9iX2lkIn19--dfa4906501114a50b093e7d2a7b892c7c879b79e/1102translation.pdf|en</t>
  </si>
  <si>
    <t>Subsidies|Economic;Capacity building|Governance</t>
  </si>
  <si>
    <t>03/05/2011|Law passed;11/04/2014|Last amended</t>
  </si>
  <si>
    <t>full text (pdf)|http://www.lse.ac.uk/GranthamInstitute/wp-content/uploads/laws/1103.pdf|bg;english translation (pdf)|https://climate-laws.org/rails/active_storage/blobs/eyJfcmFpbHMiOnsibWVzc2FnZSI6IkJBaHBBbm9LIiwiZXhwIjpudWxsLCJwdXIiOiJibG9iX2lkIn19--dd6ac4dd84fee978b11388745061d52f5090c26b/1103translation.pdf|en</t>
  </si>
  <si>
    <t>Energy Efficiency Act (repeals the Law on Energy Efficiency 2004)</t>
  </si>
  <si>
    <t>Standards, obligations and norms|Regulation;Capacity building|Governance;Processes, plans and strategies|Governance</t>
  </si>
  <si>
    <t>Energy;Industry;Residential and Commercial</t>
  </si>
  <si>
    <t>14/11/2008|Law passed;28/11/2014|Last amended</t>
  </si>
  <si>
    <t>full text (pdf)|http://www.lse.ac.uk/GranthamInstitute/wp-content/uploads/laws/1107.pdf|bg;English translation (pdf)|https://climate-laws.org/rails/active_storage/blobs/eyJfcmFpbHMiOnsibWVzc2FnZSI6IkJBaHBBbnNLIiwiZXhwIjpudWxsLCJwdXIiOiJibG9iX2lkIn19--ad364176f3a88f435a58267a944c0d1285cbcbec/1107translation.pdf|en</t>
  </si>
  <si>
    <t>Energy Act and the National Energy Strategy until 2020</t>
  </si>
  <si>
    <t>Tax incentives|Economic;Capacity building|Governance;Processes, plans and strategies|Governance</t>
  </si>
  <si>
    <t>Energy Supply;Energy Demand</t>
  </si>
  <si>
    <t>Economy-wide;Energy;Transportation;Waste</t>
  </si>
  <si>
    <t>09/12/2003|Law passed;24/07/2015|Last amended</t>
  </si>
  <si>
    <t>full text part 1|http://www.lse.ac.uk/GranthamInstitute/wp-content/uploads/laws/1109a.pdf|bg;full text part 2|http://www.lse.ac.uk/GranthamInstitute/wp-content/uploads/laws/1109b.pdf|bg;first part translated|https://climate-laws.org/rails/active_storage/blobs/eyJfcmFpbHMiOnsibWVzc2FnZSI6IkJBaHBBbndLIiwiZXhwIjpudWxsLCJwdXIiOiJibG9iX2lkIn19--bd72bad98fb2f7c08d9acf0595094347fd065cf7/1109atranslation.pdf|en;second part translated|https://climate-laws.org/rails/active_storage/blobs/eyJfcmFpbHMiOnsibWVzc2FnZSI6IkJBaHBBbjBLIiwiZXhwIjpudWxsLCJwdXIiOiJibG9iX2lkIn19--933d51aa4168ef9a0786ac14a0ff5bb63c7a4595/1109btranslation.pdf|en</t>
  </si>
  <si>
    <t>Adaptation;Institutions / Administrative Arrangements;Redd+ And Lulucf</t>
  </si>
  <si>
    <t>LULUCF;Urban</t>
  </si>
  <si>
    <t>31/03/2001|Law passed;28/11/2014|Last amended</t>
  </si>
  <si>
    <t>full text (pdf)|http://www.lse.ac.uk/GranthamInstitute/wp-content/uploads/laws/1110.pdf|bg;translation (pdf)|https://climate-laws.org/rails/active_storage/blobs/eyJfcmFpbHMiOnsibWVzc2FnZSI6IkJBaHBBbjRLIiwiZXhwIjpudWxsLCJwdXIiOiJibG9iX2lkIn19--fd01878cf290d7cb2c51d845f8bf1c7667a402cb/1110translation.pdf|en</t>
  </si>
  <si>
    <t>Integrated National Energy and Climate Plan for Bulgaria</t>
  </si>
  <si>
    <t>Tax incentives|Economic;Capacity building|Governance;Processes, plans and strategies|Governance;International cooperation|Governance;Education, training and knowledge dissemination|Information;Research &amp; Development, knowledge generation|Information</t>
  </si>
  <si>
    <t>Flood;Erosion;Droughts;Earhquakes</t>
  </si>
  <si>
    <t>Buildings;Biodiversity;Biofuels;Biogas;Agriculture;Electricity</t>
  </si>
  <si>
    <t>Agriculture;Economy-wide;Energy;Health;Transportation;Urban;Waste;Water</t>
  </si>
  <si>
    <t>24/12/2019|Approved||</t>
  </si>
  <si>
    <t>Full text (PDF)|https://ec.europa.eu/energy/sites/ener/files/documents/bg_final_necp_main_en.pdf|en;Original version (PDF)|https://ec.europa.eu/energy/sites/ener/files/documents/bg_final_necp_main_bg.pdf|bg</t>
  </si>
  <si>
    <t>Bulgaria's recovery and resilience plan</t>
  </si>
  <si>
    <t>Subsidies|Economic;Processes, plans and strategies|Governance</t>
  </si>
  <si>
    <t>Coal;Hydrogen;covid19;fossil fuel phase out</t>
  </si>
  <si>
    <t>Economy-wide;Energy</t>
  </si>
  <si>
    <t>08/02/2021|Released||</t>
  </si>
  <si>
    <t>Official webpage|https://nextgeneration.bg/14|bg;Dedicated EC page|https://ec.europa.eu/info/business-economy-euro/recovery-coronavirus/recovery-and-resilience-facility/recovery-and-resilience-plan-bulgaria_en|en;Full text (PDF)|https://climate-laws.org/rails/active_storage/blobs/eyJfcmFpbHMiOnsibWVzc2FnZSI6IkJBaHBBdmdPIiwiZXhwIjpudWxsLCJwdXIiOiJibG9iX2lkIn19--3804837ec201f2cbc02defc3d74a03340fa4f7e5/npvu-en-08022021.pdf|en</t>
  </si>
  <si>
    <t>Law on the adoption of the National Strategic Development Plan (NSDP) 2019-2023</t>
  </si>
  <si>
    <t>Law;Plan</t>
  </si>
  <si>
    <t>25/07/2019|Approved||</t>
  </si>
  <si>
    <t>full text PDF|https://climate-laws.org/rails/active_storage/blobs/eyJfcmFpbHMiOnsibWVzc2FnZSI6IkJBaHBBdllOIiwiZXhwIjpudWxsLCJwdXIiOiJibG9iX2lkIn19--9b3a471d1b6554e906ba26b5c4742177b935511d/nsdp-2019-2023_en.pdf|en;full text PDF|https://climate-laws.org/rails/active_storage/blobs/eyJfcmFpbHMiOnsibWVzc2FnZSI6IkJBaHBBdmNOIiwiZXhwIjpudWxsLCJwdXIiOiJibG9iX2lkIn19--e6f04d06bbd604973d1fd3e6223d346f08d6d8be/nsdp-2019-2023_kh.pdf|km</t>
  </si>
  <si>
    <t>Institutional mandates|Governance;Processes, plans and strategies|Governance;International cooperation|Governance</t>
  </si>
  <si>
    <t>Adaptation;Energy Supply;Redd+ And Lulucf</t>
  </si>
  <si>
    <t>Economy-wide;Energy;Industry;LULUCF;Water</t>
  </si>
  <si>
    <t>01/06/2009|Law passed</t>
  </si>
  <si>
    <t>Full text|https://climate-laws.org/rails/active_storage/blobs/eyJfcmFpbHMiOnsibWVzc2FnZSI6IkJBaHBBaVlJIiwiZXhwIjpudWxsLCJwdXIiOiJibG9iX2lkIn19--7a436ad913dfaab273c6de015c6f68689f7e2844/f|;Full text|https://climate-laws.org/rails/active_storage/blobs/eyJfcmFpbHMiOnsibWVzc2FnZSI6IkJBaHBBaWNJIiwiZXhwIjpudWxsLCJwdXIiOiJibG9iX2lkIn19--8fc5805e67d47728d1f3b502306aaf37ce18958b/f|</t>
  </si>
  <si>
    <t>Heavy-duty Vehicle and Engine Greenhouse Gas Emission Regulations</t>
  </si>
  <si>
    <t>22/02/2013|Law passed||;16/07/2015|Amended||;16/11/2018|Amended||</t>
  </si>
  <si>
    <t>Full text|https://climate-laws.org/rails/active_storage/blobs/eyJfcmFpbHMiOnsibWVzc2FnZSI6IkJBaHBBc3dKIiwiZXhwIjpudWxsLCJwdXIiOiJibG9iX2lkIn19--2decc3b26ef574299098b1516d200e865417623b/f|;latest version in force|https://laws-lois.justice.gc.ca/eng/regulations/sor-2013-24/page-1.html|en</t>
  </si>
  <si>
    <t>Energy Supply;Coal;Electricity</t>
  </si>
  <si>
    <t>25/12/2012|Law passed||;01/07/2015|Amended by the Climate Change Response (Zero Carbon) Amendment Act||;30/11/2018|Amended||</t>
  </si>
  <si>
    <t>Full text|https://climate-laws.org/rails/active_storage/blobs/eyJfcmFpbHMiOnsibWVzc2FnZSI6IkJBaHBBc3NKIiwiZXhwIjpudWxsLCJwdXIiOiJibG9iX2lkIn19--b6ba9cb20100533956c7c949cba342235f163aa4/f|;Link to version in force on official website|https://laws-lois.justice.gc.ca/eng/regulations/sor-2012-167/index.html|en</t>
  </si>
  <si>
    <t>23/09/2010|Law passed||;19/09/2014|Amended by the Climate Change Response (Zero Carbon) Amendment Act||;16/11/2018|Amended||</t>
  </si>
  <si>
    <t>Full text|https://climate-laws.org/rails/active_storage/blobs/eyJfcmFpbHMiOnsibWVzc2FnZSI6IkJBaHBBc2NKIiwiZXhwIjpudWxsLCJwdXIiOiJibG9iX2lkIn19--dcee92be7acf6f42c812a2cfc799918f029f9cd3/f|;Link to discussion paper on official website|https://www.canada.ca/en/environment-climate-change/services/canadian-environmental-protection-act-registry/publications/automobile-truck-emission-regulations-discussion.html|en;Version in force on official website|https://laws-lois.justice.gc.ca/eng/regulations/sor-2010-201/index.html|en</t>
  </si>
  <si>
    <t>Energy Supply;Transportation;Biofuels</t>
  </si>
  <si>
    <t>01/09/2010|Law passed||;25/10/2013|Amended||</t>
  </si>
  <si>
    <t>Full text|https://climate-laws.org/rails/active_storage/blobs/eyJfcmFpbHMiOnsibWVzc2FnZSI6IkJBaHBBc1VKIiwiZXhwIjpudWxsLCJwdXIiOiJibG9iX2lkIn19--557e8bdd1116ed5bb4dc3a45048ffb1e02954978/f|;Link to version in force on official website|https://laws-lois.justice.gc.ca/eng/regulations/SOR-2010-189/index.html|en</t>
  </si>
  <si>
    <t>Greenhouse Gas Reporting Program (GHGRP)</t>
  </si>
  <si>
    <t>Disclosure obligations|Regulation</t>
  </si>
  <si>
    <t>Industry;Energy Demand;Waste;Agriculture</t>
  </si>
  <si>
    <t>Agriculture;Industry;Waste</t>
  </si>
  <si>
    <t>25/12/2004|Programme instituted||</t>
  </si>
  <si>
    <t>Quantification requirements (2017 update)|https://climate-laws.org/rails/active_storage/blobs/eyJfcmFpbHMiOnsibWVzc2FnZSI6IkJBaHBBbVVNIiwiZXhwIjpudWxsLCJwdXIiOiJibG9iX2lkIn19--afbc5615d9a862f5ba90dd14768ff97f07098cc6/2017_GHGRP_Quantification_Requirements_EN_2017-12-21.pdf|en;Link to official website|https://www.canada.ca/en/environment-climate-change/services/climate-change/greenhouse-gas-emissions/facility-reporting/about.html|en</t>
  </si>
  <si>
    <t>Gas;Electricity</t>
  </si>
  <si>
    <t>Energy;Industry</t>
  </si>
  <si>
    <t>29/11/2018|Passed||;01/01/2019|Amended||</t>
  </si>
  <si>
    <t>Link to version in force on official website|https://laws-lois.justice.gc.ca/eng/regulations/SOR-2018-261/index.html|en;Link to full text (PDF)|https://laws-lois.justice.gc.ca/PDF/SOR-2018-261.pdf|en</t>
  </si>
  <si>
    <t>Oil;Gas;Methane</t>
  </si>
  <si>
    <t>04/04/2018|Passed||;01/01/2020|Amended||</t>
  </si>
  <si>
    <t>Link to version in force on official website|https://laws-lois.justice.gc.ca/eng/regulations/SOR-2018-66/index.html|en;Full text (PDF)|https://laws-lois.justice.gc.ca/PDF/SOR-2018-66.pdf|en</t>
  </si>
  <si>
    <t>Carbon Pricing;Fossil Fuels</t>
  </si>
  <si>
    <t>Buildings;Energy;Transportation;Waste</t>
  </si>
  <si>
    <t>25/12/2018|Passed||;01/07/2019|Amended||</t>
  </si>
  <si>
    <t>Link to version in force on official website|https://laws-lois.justice.gc.ca/eng/regulations/SOR-2018-12187/index.html|en;Amending regulations|http://www.gazette.gc.ca/rp-pr/p2/2019/2019-07-10/html/sor-dors265-eng.html|en</t>
  </si>
  <si>
    <t>25/12/2018|passed||;01/01/2019|Entry into force||;31/05/2020|Amended||</t>
  </si>
  <si>
    <t>Version into force on official website|https://laws-lois.justice.gc.ca/eng/regulations/SOR-2019-266/index.html|en;Full text (PDF)|https://laws-lois.justice.gc.ca/PDF/SOR-2019-266.pdf|en</t>
  </si>
  <si>
    <t>Locomotive Emissions Regulations</t>
  </si>
  <si>
    <t>Train;Public Transport</t>
  </si>
  <si>
    <t>09/06/2017|Passed||</t>
  </si>
  <si>
    <t>Version in force on official website|https://laws-lois.justice.gc.ca/eng/regulations/SOR-2017-121/index.html|en;Full text (PDF)|https://laws-lois.justice.gc.ca/PDF/SOR-2017-121.pdf|en</t>
  </si>
  <si>
    <t>Vessel Pollution and Dangerous Chemicals Regulations</t>
  </si>
  <si>
    <t>Energy Demand;Transport;Shipping</t>
  </si>
  <si>
    <t>30/03/2012|Passed||;19/12/2017|Amended||</t>
  </si>
  <si>
    <t>Full text (PDF)|https://laws-lois.justice.gc.ca/PDF/SOR-2012-69.pdf|en;Link to version in force on official website|https://laws-lois.justice.gc.ca/eng/Regulations/SOR-2012-69/page-20.html#h-791364|en</t>
  </si>
  <si>
    <t>Impact Assessment Act</t>
  </si>
  <si>
    <t>Energy Supply;Coal;Environmental Permit;Limits On Fossil Fuels;Coal Phase Out;Fossil Fuel Phase Out;Fossil Fuels Curbing Measures</t>
  </si>
  <si>
    <t>Cross Cutting Area;Energy</t>
  </si>
  <si>
    <t>28/08/2019|Law passed||;01/07/2020|Guidance on implementation published||</t>
  </si>
  <si>
    <t>Strategic Assessment of Climate Change|https://www.canada.ca/en/services/environment/conservation/assessments/strategic-assessments/climate-change.html#toc3|en;Impact Assessment Act|https://laws.justice.gc.ca/PDF/I-2.75.pdf|en;Link to policy statement on coal mining phase-out|https://www.canada.ca/en/environment-climate-change/services/managing-pollution/energy-production/electricity-generation/statement-government-canada-thermal-coal-mining.html|en</t>
  </si>
  <si>
    <t>2030 emissions reduction plan - Canada’s Next Steps for Clean Air and a Strong Economy</t>
  </si>
  <si>
    <t>Standards, obligations and norms|Regulation;Subsidies|Economic;Carbon pricing &amp; emissions trading|Economic;Provision of climate funds|Direct Investment;Nature based solutions and ecosystem restoration|Direct Investment;Institutional mandates|Governance;Processes, plans and strategies|Governance;Subnational and citizen participation|Governance;International cooperation|Governance;Education, training and knowledge dissemination|Information;Research &amp; Development, knowledge generation|Information</t>
  </si>
  <si>
    <t>Indigenous people;EV;jobs;Energy Efficiency</t>
  </si>
  <si>
    <t>Buildings;Economy-wide;Energy;Environment;Industry;Social development;Transport;Waste</t>
  </si>
  <si>
    <t>29/03/2022|Approved||</t>
  </si>
  <si>
    <t>Full text (PDF)|https://www.canada.ca/content/dam/eccc/documents/pdf/climate-change/erp/Canada-2030-Emissions-Reduction-Plan-eng.pdf|en;Official backgrounder|https://www.canada.ca/en/environment-climate-change/news/2022/03/2030-emissions-reduction-plan--canadas-next-steps-for-clean-air-and-a-strong-economy.html|en</t>
  </si>
  <si>
    <t>Vision 2030 and National Development Plan 2017-2021</t>
  </si>
  <si>
    <t>Capacity building|Governance</t>
  </si>
  <si>
    <t>01/07/2017|Law passed||</t>
  </si>
  <si>
    <t>Full text (PDF) (Vision 2030)|https://climate-laws.org/rails/active_storage/blobs/eyJfcmFpbHMiOnsibWVzc2FnZSI6IkJBaHBBa1VHIiwiZXhwIjpudWxsLCJwdXIiOiJibG9iX2lkIn19--b9f33e17aae6e1fc081bc37db23a00aad7e540ef/f|;Full text (PDF) (National Development Plan 2017-2021 - French)|https://climate-laws.org/rails/active_storage/blobs/eyJfcmFpbHMiOnsibWVzc2FnZSI6IkJBaHBBa1lHIiwiZXhwIjpudWxsLCJwdXIiOiJibG9iX2lkIn19--25e3b67df77e7af68c962c122a3e7c86243b40bc/f|</t>
  </si>
  <si>
    <t>Law No. 20.257 on Non-Conventional Renewable Energies</t>
  </si>
  <si>
    <t>01/04/2008|Law passed||</t>
  </si>
  <si>
    <t>Full text|https://climate-laws.org/rails/active_storage/blobs/eyJfcmFpbHMiOnsibWVzc2FnZSI6IkJBaHBBdWNKIiwiZXhwIjpudWxsLCJwdXIiOiJibG9iX2lkIn19--354e032cb509d4435fbcc22dab7f60fada48fae0/f|es;regulations|https://climate-laws.org/rails/active_storage/blobs/eyJfcmFpbHMiOnsibWVzc2FnZSI6IkJBaHBBb3dLIiwiZXhwIjpudWxsLCJwdXIiOiJibG9iX2lkIn19--4e1e2b722426be5cefd58b9007093c39af803acf/1307%20-%20regulation.pdf|es</t>
  </si>
  <si>
    <t>Law 20.780 (tax reform implementing a green tax)</t>
  </si>
  <si>
    <t>26/09/2014|Law passed||;24/02/2020|Law amended|Amended by law 21.210|</t>
  </si>
  <si>
    <t>Full text|https://climate-laws.org/rails/active_storage/blobs/eyJfcmFpbHMiOnsibWVzc2FnZSI6IkJBaHBBaTBHIiwiZXhwIjpudWxsLCJwdXIiOiJibG9iX2lkIn19--9f5b4737d19220ab217631ece67e086398d3df3e/f|es;Link to amending law 21.210 |https://www.leychile.cl/Navegar?idNorma=1142667|es</t>
  </si>
  <si>
    <t>Decree No. 1 approving Regulation of the Registry of Emissions and Transfers of Pollutants</t>
  </si>
  <si>
    <t>Industry;Mitigation;Waste</t>
  </si>
  <si>
    <t>Health;Industry;Transportation;Waste</t>
  </si>
  <si>
    <t>02/01/2013|Law passed;20/07/2017|Last amendment</t>
  </si>
  <si>
    <t>full text (PDF)|https://climate-laws.org/rails/active_storage/blobs/eyJfcmFpbHMiOnsibWVzc2FnZSI6IkJBaHBBamdGIiwiZXhwIjpudWxsLCJwdXIiOiJibG9iX2lkIn19--ca23b2684f0cd122ce943b8cfd20614c818208b3/f|;Amendment - link to governmental website|http://www.retc.cl/se-publica-en-diario-oficial-la-modificacion-del-reglamento-retc/|</t>
  </si>
  <si>
    <t>The National Strategy for Climate Change Adaptation</t>
  </si>
  <si>
    <t>Standards, obligations and norms|Regulation;Zoning &amp; Spatial Planning|Regulation;Processes, plans and strategies|Governance;Subnational and citizen participation|Governance;Research &amp; Development, knowledge generation|Information</t>
  </si>
  <si>
    <t>Floods;Droughts;Cyclones;Tsunamis;Storms;Hurricanes;Mudslides;Heat Waves And Heat Stress;Soil Erosion;Sea Level Rise;Changes In Average Precipitation;Cold Waves;Changes In Surface Water</t>
  </si>
  <si>
    <t>01/11/2013|Law passed||;18/02/2022|Replaced by 2035 version||</t>
  </si>
  <si>
    <t>Full text of 2013 version|https://climate-laws.org/rails/active_storage/blobs/eyJfcmFpbHMiOnsibWVzc2FnZSI6IkJBaHBBdXNKIiwiZXhwIjpudWxsLCJwdXIiOiJibG9iX2lkIn19--0247f14fe7ec67e14b10dce599bfff3764e95a4c/f|;Announcement of 2035 version|http://www.mee.gov.cn/ywdt/hjywnews/202202/t20220218_969440.shtml|zh</t>
  </si>
  <si>
    <t>Renewable Energy Act</t>
  </si>
  <si>
    <t>Research And Development;Energy Supply</t>
  </si>
  <si>
    <t>01/01/2006|Law passed||;26/12/2009|Last amendment||</t>
  </si>
  <si>
    <t>Full text|https://climate-laws.org/rails/active_storage/blobs/eyJfcmFpbHMiOnsibWVzc2FnZSI6IkJBaHBBdUVKIiwiZXhwIjpudWxsLCJwdXIiOiJibG9iX2lkIn19--e01afcd0906a009f99060c7a25b26a83bad1bb12/f|;Notice 25/2021|http://zfxxgk.nea.gov.cn/2021-05/11/c_139958210.htm|zh</t>
  </si>
  <si>
    <t>14th Five-Year Plan</t>
  </si>
  <si>
    <t>Slc Ps;Hf Cs</t>
  </si>
  <si>
    <t>Agriculture;Economy-wide;Energy;LULUCF;Rural;Transport</t>
  </si>
  <si>
    <t>01/03/2021|Passed||</t>
  </si>
  <si>
    <t>Link to full text|http://www.gov.cn/xinwen/2021-03/13/content_5592681.htm|zh;Link to unofficial translation by CSET|https://climate-laws.org/rails/active_storage/blobs/eyJfcmFpbHMiOnsibWVzc2FnZSI6IkJBaHBBaEFPIiwiZXhwIjpudWxsLCJwdXIiOiJibG9iX2lkIn19--25e625bb83015cd75273d89730f349aa695ea5f9/t0284_14th_Five_Year_Plan_EN.pdf|en</t>
  </si>
  <si>
    <t>New Energy Vehicle Industry Development Plan and 2020 New Energy Vehicle Promotion Subsidy Plan</t>
  </si>
  <si>
    <t>Ev;Public Transport</t>
  </si>
  <si>
    <t>Industry;Transport</t>
  </si>
  <si>
    <t>02/11/2020|Published||</t>
  </si>
  <si>
    <t>Link to English summary on official website|http://english.www.gov.cn/policies/latestreleases/202011/02/content_WS5f9ff225c6d0f7257693ece2.html|en;2020 New Energy Vehicle Promotion Subsidy Plan|http://www.gov.cn/zhengce/zhengceku/2020-04/23/5505502/files/f5fc2592b25e4ff3a5ba01770dd5842e.pdf|zh;Notice on improving the fiscal subsidy policy for the promotion and application of new energy vehicles|http://www.gov.cn/zhengce/zhengceku/2020-04/23/content_5505502.htm|zh</t>
  </si>
  <si>
    <t>Notice 655/2021 on Pollution Control, Energy Conservation and Carbon Reduction</t>
  </si>
  <si>
    <t>Provision of climate funds|Direct Investment;Processes, plans and strategies|Governance;Subnational and citizen participation|Governance</t>
  </si>
  <si>
    <t>09/05/2021|Approved||</t>
  </si>
  <si>
    <t>Link to notice|https://www.ndrc.gov.cn/xxgk/zcfb/ghxwj/202105/t20210518_1280099.html|zh;Link to full text |https://www.ndrc.gov.cn/xxgk/zcfb/ghxwj/202105/P020210518546042625573.pdf|zh</t>
  </si>
  <si>
    <t>Action Plan for Carbon Dioxide Peaking before 2030 (‘1+N’)</t>
  </si>
  <si>
    <t>Standards, obligations and norms|Regulation;Provision of climate funds|Direct Investment;Nature based solutions and ecosystem restoration|Direct Investment;Capacity building|Governance;Processes, plans and strategies|Governance;Subnational and citizen participation|Governance;MRV|Governance;International cooperation|Governance;Education, training and knowledge dissemination|Information;Research &amp; Development, knowledge generation|Information</t>
  </si>
  <si>
    <t>Renewables;Coal;Planning;Hydrogen;Education;Aviation;Fisheries;Infrastructure;Energy Efficiency;Circular Economy;Carbon Sink;Afforestation;Digital Transition;Maritime Planning;Oil And Gas;Limits On Fossil Fuels;Oceans;Nuclear;Fuels;Energy Conservation;Fossil Fuels Curbing Measures;Nuclear Fusion;Soil Erosion</t>
  </si>
  <si>
    <t>Agriculture;Buildings;Economy-wide;Energy;Environment;Finance;Industry;LULUCF;Public Sector;Rural;Social development;Transport;Urban;Waste</t>
  </si>
  <si>
    <t>27/10/2021|Approved||</t>
  </si>
  <si>
    <t>Link to full text on official website|https://en.ndrc.gov.cn/policies/202110/t20211027_1301020.html|en;Working guidance |https://climate-laws.org/rails/active_storage/blobs/eyJfcmFpbHMiOnsibWVzc2FnZSI6IkJBaHBBb2tPIiwiZXhwIjpudWxsLCJwdXIiOiJibG9iX2lkIn19--fd46d4069047e7b34fbfce8db1823e2d6243cd4f/fulltext.docx|en</t>
  </si>
  <si>
    <t>Electric Power Law</t>
  </si>
  <si>
    <t>Standards, obligations and norms|Regulation;Capacity building|Governance</t>
  </si>
  <si>
    <t>Renewables;Electricity</t>
  </si>
  <si>
    <t>28/12/1995|First adopted||;29/12/2018|climate-related clauses approved||</t>
  </si>
  <si>
    <t>Link to full translated text on official website|http://www.npc.gov.cn/zgrdw/englishnpc/Law/2007-12/12/content_1383731.htm|en;Link to original version on external website|http://www.lawinfochina.com/display.aspx?id=29714&amp;lib=law|zh</t>
  </si>
  <si>
    <t>Implementation plan on promoting green consumption (notice 107 of the National Development and Reform Commission)</t>
  </si>
  <si>
    <t>Transport;Food;housing;clothing;travel</t>
  </si>
  <si>
    <t>21/01/2022|Approved||</t>
  </si>
  <si>
    <t>Link to notice 107/2022 on official website|https://www.ndrc.gov.cn/xxgk/zcfb/tz/202201/t20220121_1312524.html?code=&amp;state=123|zh;Link to full text of the plan on official website (PDF)|https://www.ndrc.gov.cn/xxgk/zcfb/tz/202201/P020220121303032255690.pdf|zh</t>
  </si>
  <si>
    <t>National Economic and Social Development Plan (2021 and 2022)</t>
  </si>
  <si>
    <t>Capacity building|Governance;Processes, plans and strategies|Governance;International cooperation|Governance;Research &amp; Development, knowledge generation|Information</t>
  </si>
  <si>
    <t>Renewables;Coal;Gas;Infrastructure;digital transition;Covid-19</t>
  </si>
  <si>
    <t>13/03/2022|Adopted||</t>
  </si>
  <si>
    <t>Implementation report|http://www.gov.cn/xinwen/2022-03/13/content_5678833.htm|zh;Official announcement of approval|http://www.gov.cn/xinwen/2022-03/11/content_5678443.htm|zh;Translated report|https://climate-laws.org/rails/active_storage/blobs/eyJfcmFpbHMiOnsibWVzc2FnZSI6IkJBaHBBdTRPIiwiZXhwIjpudWxsLCJwdXIiOiJibG9iX2lkIn19--cf855e6bdf7bb30ebeecf0ee9f0b62db19234a1d/ENG-NDRC-REPORT-2022-ENG.pdf|zh</t>
  </si>
  <si>
    <t>Subsidies|Economic;Climate finance tools|Economic;Capacity building|Governance;Processes, plans and strategies|Governance;MRV|Governance;International cooperation|Governance;Research &amp; Development, knowledge generation|Information</t>
  </si>
  <si>
    <t>EV;Hydrogen;Truck;Innovation</t>
  </si>
  <si>
    <t>23/03/2022|Approved||</t>
  </si>
  <si>
    <t>Link to official webpage|https://www.ndrc.gov.cn/xxgk/jd/zctj/202203/t20220323_1320046.html?code=&amp;state=123|zh;Full text (PDF)|https://climate-laws.org/rails/active_storage/blobs/eyJfcmFpbHMiOnsibWVzc2FnZSI6IkJBaHBBdllPIiwiZXhwIjpudWxsLCJwdXIiOiJibG9iX2lkIn19--ab54f5f9069ccbcb15bc11f2b360d28a5c14eec1/P020220323314396580505.pdf|zh</t>
  </si>
  <si>
    <t>14th Five-Year Plan on Modern Energy System Planning</t>
  </si>
  <si>
    <t>Processes, plans and strategies|Governance;International cooperation|Governance;Research &amp; Development, knowledge generation|Information</t>
  </si>
  <si>
    <t>Renewables;Paris Agreement;Coal Mining;coal;Gas;SOlar;Nuclear;wind;Innovation</t>
  </si>
  <si>
    <t>22/03/2022|Released||</t>
  </si>
  <si>
    <t>Full text (PDF)|https://climate-laws.org/rails/active_storage/blobs/eyJfcmFpbHMiOnsibWVzc2FnZSI6IkJBaHBBdThPIiwiZXhwIjpudWxsLCJwdXIiOiJibG9iX2lkIn19--1f5df42b6e59d8e53a177b3ee3a047f7ee551176/P020220322582066837126.pdf|zh;Unofficial translation (PDF)|https://climate-laws.org/rails/active_storage/blobs/eyJfcmFpbHMiOnsibWVzc2FnZSI6IkJBaHBBdkFPIiwiZXhwIjpudWxsLCJwdXIiOiJibG9iX2lkIn19--51fdb1cf68ee0cad66a1434f674c64f4eeb18147/P020220322582066837126-2.pdf|en</t>
  </si>
  <si>
    <t>Colombian Low-Carbon Development Strategy</t>
  </si>
  <si>
    <t>Processes, plans and strategies|Governance;International cooperation|Governance</t>
  </si>
  <si>
    <t>Agriculture;Economy-wide;Energy;Industry;Transportation;Waste</t>
  </si>
  <si>
    <t>02/12/2019|Law passed</t>
  </si>
  <si>
    <t>link to official website listing documents in scope|https://www.minambiente.gov.co/index.php/component/content/article/469-plantilla-cambio-climatico-25#estrategia-colombiana-de-desarrollo-bajo-en-carbono|es;official presentation|https://www.minambiente.gov.co/images/cambioclimatico/pdf/Estrategia_Colombiana_de_Desarrollo_Bajo_en_Carbono/FOLLETO_DE_PRESENTACION_ECDBC.pdf|es</t>
  </si>
  <si>
    <t>Decrees 1625/2016 and 926/2017 on carbon tax</t>
  </si>
  <si>
    <t>Carbon Pricing</t>
  </si>
  <si>
    <t>25/12/2016|Law passed;01/06/2017|Law amended</t>
  </si>
  <si>
    <t>Full text|https://climate-laws.org/rails/active_storage/blobs/eyJfcmFpbHMiOnsibWVzc2FnZSI6IkJBaHBBcU1IIiwiZXhwIjpudWxsLCJwdXIiOiJibG9iX2lkIn19--0a43d7169bc16bb39b0e60181082d411f53a8d3d/f|es;Full text - part 2|https://climate-laws.org/rails/active_storage/blobs/eyJfcmFpbHMiOnsibWVzc2FnZSI6IkJBaHBBcVFIIiwiZXhwIjpudWxsLCJwdXIiOiJibG9iX2lkIn19--87e4f4994feb7330874ff8aabac35bee87f23a00/f|es;Law no 1819 (full text, pdf)|https://climate-laws.org/rails/active_storage/blobs/eyJfcmFpbHMiOnsibWVzc2FnZSI6IkJBaHBBdGtMIiwiZXhwIjpudWxsLCJwdXIiOiJibG9iX2lkIn19--1d54709131241722b759740612931990c8edee1a/Ley-1819-29-dic-16-Reforma-Tributaria-Diario-Oficial-50101.pdf|es</t>
  </si>
  <si>
    <t>Decree No. 308 creating the National Disaster Risk Management Plan and the Development Strategy_x009d_ for the period 2015-2025</t>
  </si>
  <si>
    <t>Drm/Drr</t>
  </si>
  <si>
    <t>Early warning systems|Direct Investment;Capacity building|Governance</t>
  </si>
  <si>
    <t>24/02/2016|Law passed||</t>
  </si>
  <si>
    <t>Link to official website|http://www.suin-juriscol.gov.co/viewDocument.asp?ruta=Decretos/30022853 |es;Full text (PDF)|https://climate-laws.org/rails/active_storage/blobs/eyJfcmFpbHMiOnsibWVzc2FnZSI6IkJBaHBBak1LIiwiZXhwIjpudWxsLCJwdXIiOiJibG9iX2lkIn19--a997062a4b09d825adf81d7d6ff6720c5df7ca9e/DECRETO%20308%20DEL%2024%20DE%20FEBRERO%20DE%202016.pdf|es;Full text (PDF)|http://www.lse.ac.uk/GranthamInstitute/wp-content/uploads/2019/08/Dec_308_2016.pdf|es</t>
  </si>
  <si>
    <t>Long Term Strategy E2050</t>
  </si>
  <si>
    <t>18/05/2020|released||</t>
  </si>
  <si>
    <t>Official presentation of the strategy|https://cambioclimatico.mma.gob.cl/wp-content/uploads/2020/05/20200518_Estrategia-Clim%C3%A1tica-Largo-Plazo-2050_COLOMBIA.pdf|es;Dedicated official website|https://e2050colombia.com/|</t>
  </si>
  <si>
    <t>Resolutions 4 0590, 4 0141 and 4 0179 on long-term contracting for electric power generation projects</t>
  </si>
  <si>
    <t>Renewables</t>
  </si>
  <si>
    <t>09/07/2019|Decree 4 0590 approved||;07/05/2021|Decree amended||;09/06/2021|Decree 4 0179 approved||</t>
  </si>
  <si>
    <t>Link to decree 4 0590|https://www.minenergia.gov.co/documents/10180/23517/48155-res.+4+0590+del+9-7-20192019-07-09-120048+%281%29.pdf|es;Link to decree 4 0141|https://www.minenergia.gov.co/documents/10180/23517/48939-40141.pdf|es;Link to decree 4 0179 |https://www.minenergia.gov.co/documents/10180/23517/48961-40179.pdf|es</t>
  </si>
  <si>
    <t>Law 1083/2006 establishing rules on sustainable urban planning</t>
  </si>
  <si>
    <t>Standards, obligations and norms|Regulation;Processes, plans and strategies|Governance</t>
  </si>
  <si>
    <t>Cycling</t>
  </si>
  <si>
    <t>Disaster Risk Management (Drm);Health;Transport;Urban</t>
  </si>
  <si>
    <t>31/07/2006|Approved||</t>
  </si>
  <si>
    <t>Link to full text on official website|https://www.funcionpublica.gov.co/eva/gestornormativo/norma.php?i=20869|es;Link to full text of the application decree on official website|https://www.funcionpublica.gov.co/eva/gestornormativo/norma.php?i=39179#0|es</t>
  </si>
  <si>
    <t>Climate and Disaster Compatible Development Policy 2013 - 2016 (Kaveinga Tapapa)</t>
  </si>
  <si>
    <t>Adaptation;Institutions / Administrative Arrangements;Energy Supply;Energy Demand;Redd+ And Lulucf</t>
  </si>
  <si>
    <t>01/08/2013|Law passed||</t>
  </si>
  <si>
    <t>full text (pdf)|http://www.mfem.gov.ck/images/Climate__Disaster_Compatible_Development_Policy_Final_copy.pdf|en;full text (pdf) 2|http://www.lse.ac.uk/GranthamInstitute/wp-content/uploads/2018/04/Cook-islands-policy-2013-16.pdf|en</t>
  </si>
  <si>
    <t>Biofuel Regulation (Executive Decree 35091)</t>
  </si>
  <si>
    <t>Research And Development;Energy Supply;Transportation</t>
  </si>
  <si>
    <t>17/03/2009|Law passed</t>
  </si>
  <si>
    <t>full text (pdf)|http://www.lse.ac.uk/GranthamInstitute/wp-content/uploads/laws/1128.pdf|es;2016 decree (pdf)|https://climate-laws.org/rails/active_storage/blobs/eyJfcmFpbHMiOnsibWVzc2FnZSI6IkJBaHBBbjhLIiwiZXhwIjpudWxsLCJwdXIiOiJibG9iX2lkIn19--9a61b3f75c25f6825c440627756d95c7982720d9/1128new%20decree%20of%202016.pdf|es</t>
  </si>
  <si>
    <t>Code de l’énergie - Les mesures particulières aux véhicules: Sous-section 2 : Montants et modalités de versement des aides</t>
  </si>
  <si>
    <t>Energy Code - Measures specific to vehicles: Sub-section 2: Amounts and methods of aid payments</t>
  </si>
  <si>
    <t>France</t>
  </si>
  <si>
    <t>FRA</t>
  </si>
  <si>
    <t>https://climate-laws.org/rails/active_storage/blobs/eyJfcmFpbHMiOnsibWVzc2FnZSI6IkJBaHBBaWtLIiwiZXhwIjpudWxsLCJwdXIiOiJibG9iX2lkIn19--7a298e49a382951224fc876c674cfed5e9009730/f|</t>
  </si>
  <si>
    <t>https://climate-laws.org/rails/active_storage/blobs/eyJfcmFpbHMiOnsibWVzc2FnZSI6IkJBaHBBaWtLIiwiZXhwIjpudWxsLCJwdXIiOiJibG9iX2lkIn19--7a298e49a382951224fc876c674cfed5e9009730/f</t>
  </si>
  <si>
    <t>Ingemar</t>
  </si>
  <si>
    <t>Code général des impôts - Article 1011 bis</t>
  </si>
  <si>
    <t>General Tax Code - Article 1011b</t>
  </si>
  <si>
    <t>https://climate-laws.org/rails/active_storage/blobs/eyJfcmFpbHMiOnsibWVzc2FnZSI6IkJBaHBBaW9LIiwiZXhwIjpudWxsLCJwdXIiOiJibG9iX2lkIn19--7606f7c8f479769c9ad3c98a8ae3aaa1c80a118e/f|</t>
  </si>
  <si>
    <t>https://climate-laws.org/rails/active_storage/blobs/eyJfcmFpbHMiOnsibWVzc2FnZSI6IkJBaHBBaW9LIiwiZXhwIjpudWxsLCJwdXIiOiJibG9iX2lkIn19--7606f7c8f479769c9ad3c98a8ae3aaa1c80a118e/f</t>
  </si>
  <si>
    <t>LOI n° 2019-1270 du 2 décembre 2019 de finances rectificative pour 2019 (1)</t>
  </si>
  <si>
    <t>https://www.legifrance.gouv.fr/affichTexte.do?cidTexte=JORFTEXT000039440006&amp;categorieLien=id|fr</t>
  </si>
  <si>
    <t>https://www.legifrance.gouv.fr/affichTexte.do?cidTexte=JORFTEXT000039440006&amp;categorieLien=id</t>
  </si>
  <si>
    <t>LOI n° 2021-1900 du 30 décembre 2021 de finances pour 2022 (1)</t>
  </si>
  <si>
    <t>https://www.legifrance.gouv.fr/jorf/id/JORFTEXT000044637640|fr</t>
  </si>
  <si>
    <t>https://www.legifrance.gouv.fr/jorf/id/JORFTEXT000044637640</t>
  </si>
  <si>
    <t>Abrogé par Ordonnance n°2021-1843 du 22 décembre 2021 - art. 10</t>
  </si>
  <si>
    <t>Order</t>
  </si>
  <si>
    <t>https://www.legifrance.gouv.fr/codes/id/LEGIARTI000043012244/2022-01-01/|fr</t>
  </si>
  <si>
    <t>https://www.legifrance.gouv.fr/codes/id/LEGIARTI000043012244/2022-01-01/</t>
  </si>
  <si>
    <t>Plan de déploiement de l’hydrogéne pour la transition énergétique</t>
  </si>
  <si>
    <t>https://climate-laws.org/rails/active_storage/blobs/eyJfcmFpbHMiOnsibWVzc2FnZSI6IkJBaHBBam9HIiwiZXhwIjpudWxsLCJwdXIiOiJibG9iX2lkIn19--90f59083e8b145498ee1099b7a9d2150db3959b7/f|</t>
  </si>
  <si>
    <t>https://climate-laws.org/rails/active_storage/blobs/eyJfcmFpbHMiOnsibWVzc2FnZSI6IkJBaHBBam9HIiwiZXhwIjpudWxsLCJwdXIiOiJibG9iX2lkIn19--90f59083e8b145498ee1099b7a9d2150db3959b7/f</t>
  </si>
  <si>
    <t>https://www.ecologique-solidaire.gouv.fr/plan-hydrogene-outil-davenir-transition-energetique|</t>
  </si>
  <si>
    <t>https://www.ecologique-solidaire.gouv.fr/plan-hydrogene-outil-davenir-transition-energetique</t>
  </si>
  <si>
    <t>Le Plan National D’Adaptation Au Changement Climatique</t>
  </si>
  <si>
    <t>https://climate-laws.org/rails/active_storage/blobs/eyJfcmFpbHMiOnsibWVzc2FnZSI6IkJBaHBBcVFFIiwiZXhwIjpudWxsLCJwdXIiOiJibG9iX2lkIn19--1526a5c365a4c4a6aec3bdce4df8776b1a3301c4/f|</t>
  </si>
  <si>
    <t>https://climate-laws.org/rails/active_storage/blobs/eyJfcmFpbHMiOnsibWVzc2FnZSI6IkJBaHBBcVFFIiwiZXhwIjpudWxsLCJwdXIiOiJibG9iX2lkIn19--1526a5c365a4c4a6aec3bdce4df8776b1a3301c4/f</t>
  </si>
  <si>
    <t>https://climate-laws.org/rails/active_storage/blobs/eyJfcmFpbHMiOnsibWVzc2FnZSI6IkJBaHBBcVVFIiwiZXhwIjpudWxsLCJwdXIiOiJibG9iX2lkIn19--749231cd3161e6e94e9f66409f06108c5c03a3b1/f|</t>
  </si>
  <si>
    <t>https://climate-laws.org/rails/active_storage/blobs/eyJfcmFpbHMiOnsibWVzc2FnZSI6IkJBaHBBcVVFIiwiZXhwIjpudWxsLCJwdXIiOiJibG9iX2lkIn19--749231cd3161e6e94e9f66409f06108c5c03a3b1/f</t>
  </si>
  <si>
    <t>Stratégie Nationale Bas-Carbone (SNBC)</t>
  </si>
  <si>
    <t>https://www.ecologique-solidaire.gouv.fr/strategie-nationale-bas-carbone-snbc|fr</t>
  </si>
  <si>
    <t>https://www.ecologique-solidaire.gouv.fr/strategie-nationale-bas-carbone-snbc</t>
  </si>
  <si>
    <t>Stratégie Nationale Bas-Carbone</t>
  </si>
  <si>
    <t>https://climate-laws.org/rails/active_storage/blobs/eyJfcmFpbHMiOnsibWVzc2FnZSI6IkJBaHBBandNIiwiZXhwIjpudWxsLCJwdXIiOiJibG9iX2lkIn19--53806fa254eae1af4fc466b2a9a4e38b1d3cc88d/2020-03-25_MTES_SNBC2.pdf|fr</t>
  </si>
  <si>
    <t>https://climate-laws.org/rails/active_storage/blobs/eyJfcmFpbHMiOnsibWVzc2FnZSI6IkJBaHBBandNIiwiZXhwIjpudWxsLCJwdXIiOiJibG9iX2lkIn19--53806fa254eae1af4fc466b2a9a4e38b1d3cc88d/2020-03-25_MTES_SNBC2.pdf</t>
  </si>
  <si>
    <t>PLAN DE SOUTIEN À L’AUTOMOBILE</t>
  </si>
  <si>
    <t>https://www.ecologique-solidaire.gouv.fr/sites/default/files/20200526_DP_Automobile.pdf|fr</t>
  </si>
  <si>
    <t>https://www.ecologique-solidaire.gouv.fr/sites/default/files/20200526_DP_Automobile.pdf</t>
  </si>
  <si>
    <t>https://www.economie.gouv.fr/covid19-soutien-entreprises/mesures-plan-soutien-automobile|fr</t>
  </si>
  <si>
    <t>https://www.economie.gouv.fr/covid19-soutien-entreprises/mesures-plan-soutien-automobile</t>
  </si>
  <si>
    <t>Programmations pluriannuelles de l’énergie (PPE)</t>
  </si>
  <si>
    <t>https://www.ecologique-solidaire.gouv.fr/programmations-pluriannuelles-lenergie-ppe|fr</t>
  </si>
  <si>
    <t>https://www.ecologique-solidaire.gouv.fr/programmations-pluriannuelles-lenergie-ppe</t>
  </si>
  <si>
    <t>STRATÉGIE FRANÇAISE POUR L’ÉNERGIE ET LE CLIMAT</t>
  </si>
  <si>
    <t>https://climate-laws.org/rails/active_storage/blobs/eyJfcmFpbHMiOnsibWVzc2FnZSI6IkJBaHBBajBNIiwiZXhwIjpudWxsLCJwdXIiOiJibG9iX2lkIn19--eb9f7ed774c4bae9597805aeb7f32f75fb07dde4/20200422%20Programmation%20pluriannuelle%20de%20l'%C3%A9nergie.pdf|fr</t>
  </si>
  <si>
    <t>https://climate-laws.org/rails/active_storage/blobs/eyJfcmFpbHMiOnsibWVzc2FnZSI6IkJBaHBBajBNIiwiZXhwIjpudWxsLCJwdXIiOiJibG9iX2lkIn19--eb9f7ed774c4bae9597805aeb7f32f75fb07dde4/20200422%20Programmation%20pluriannuelle%20de%20l'%C3%A9nergie.pdf</t>
  </si>
  <si>
    <t>Décret no du 21 avril 2020 relatif à la programmation pluriannuelle de l’énergie</t>
  </si>
  <si>
    <t>https://climate-laws.org/rails/active_storage/blobs/eyJfcmFpbHMiOnsibWVzc2FnZSI6IkJBaHBBajRNIiwiZXhwIjpudWxsLCJwdXIiOiJibG9iX2lkIn19--5037723746fe87935043fb3f3db758d84d155fd6/TRER2006667D%20sign%C3%A9%20PM.pdf|fr</t>
  </si>
  <si>
    <t>https://climate-laws.org/rails/active_storage/blobs/eyJfcmFpbHMiOnsibWVzc2FnZSI6IkJBaHBBajRNIiwiZXhwIjpudWxsLCJwdXIiOiJibG9iX2lkIn19--5037723746fe87935043fb3f3db758d84d155fd6/TRER2006667D%20sign%C3%A9%20PM.pdf</t>
  </si>
  <si>
    <t>Construire la France de demain: Relancer l'économie et ressortir renforcé de la crise</t>
  </si>
  <si>
    <t>Building the France of tomorrow: Reviving the economy and emerging stronger from the crisis</t>
  </si>
  <si>
    <t>https://www.gouvernement.fr/france-relance|fr</t>
  </si>
  <si>
    <t>https://www.gouvernement.fr/france-relance</t>
  </si>
  <si>
    <t>France Relance</t>
  </si>
  <si>
    <t>France Relaunch Plan</t>
  </si>
  <si>
    <t>https://climate-laws.org/rails/active_storage/blobs/eyJfcmFpbHMiOnsibWVzc2FnZSI6IkJBaHBBdDRNIiwiZXhwIjpudWxsLCJwdXIiOiJibG9iX2lkIn19--82245b45cce03535df35a9d2ee8678cbeb84162a/mesures_france_relance.pdf|fr</t>
  </si>
  <si>
    <t>https://climate-laws.org/rails/active_storage/blobs/eyJfcmFpbHMiOnsibWVzc2FnZSI6IkJBaHBBdDRNIiwiZXhwIjpudWxsLCJwdXIiOiJibG9iX2lkIn19--82245b45cce03535df35a9d2ee8678cbeb84162a/mesures_france_relance.pdf</t>
  </si>
  <si>
    <t xml:space="preserve">
Modifié par LOI n°2016-1888 du 28 décembre 2016 - art. 1</t>
  </si>
  <si>
    <t>https://www.legifrance.gouv.fr/loda/id/JORFTEXT000000317293/2020-11-02/|fr</t>
  </si>
  <si>
    <t>https://www.legifrance.gouv.fr/loda/id/JORFTEXT000000317293/2020-11-02/</t>
  </si>
  <si>
    <t>LOI n° 2016-1888 du 28 décembre 2016 de modernisation, de développement et de protection des territoires de montagne (1)</t>
  </si>
  <si>
    <t>https://www.legifrance.gouv.fr/loda/id/LEGIARTI000033725056/2016-12-30/|fr</t>
  </si>
  <si>
    <t>https://www.legifrance.gouv.fr/loda/id/LEGIARTI000033725056/2016-12-30/</t>
  </si>
  <si>
    <t>La stratégie nationale de transition écologique vers un développement durable 2015-2020</t>
  </si>
  <si>
    <t>https://www.ecologie.gouv.fr/strategie-nationale-transition-ecologique-vers-developpement-durable-2015-2020|fr</t>
  </si>
  <si>
    <t>https://www.ecologie.gouv.fr/strategie-nationale-transition-ecologique-vers-developpement-durable-2015-2020</t>
  </si>
  <si>
    <t>Stratégie nationale de transition écologique vers un développement durable</t>
  </si>
  <si>
    <t>https://climate-laws.org/rails/active_storage/blobs/eyJfcmFpbHMiOnsibWVzc2FnZSI6IkJBaHBBbkVPIiwiZXhwIjpudWxsLCJwdXIiOiJibG9iX2lkIn19--adb09778391a847731778684b36250eb13a0662d/SNTEDD%20-%20La%20strat%C3%A9gie.pdf|fr</t>
  </si>
  <si>
    <t>https://climate-laws.org/rails/active_storage/blobs/eyJfcmFpbHMiOnsibWVzc2FnZSI6IkJBaHBBbkVPIiwiZXhwIjpudWxsLCJwdXIiOiJibG9iX2lkIn19--adb09778391a847731778684b36250eb13a0662d/SNTEDD%20-%20La%20strat%C3%A9gie.pdf</t>
  </si>
  <si>
    <t>Arrêté du 14 mars 2016 portant validation du programme « ADVENIR » dans le cadre du dispositif des certificats d'économies d'énergie</t>
  </si>
  <si>
    <t>https://www.legifrance.gouv.fr/jorf/id/JORFSCTA000032303780|fr</t>
  </si>
  <si>
    <t>https://www.legifrance.gouv.fr/jorf/id/JORFSCTA000032303780</t>
  </si>
  <si>
    <t>Arrêté du 10 décembre 2021 portant création de programme dans le cadre du dispositif des certificats d'économies d'énergie</t>
  </si>
  <si>
    <t>https://www.legifrance.gouv.fr/jorf/id/JORFTEXT000044546141|fr</t>
  </si>
  <si>
    <t>https://www.legifrance.gouv.fr/jorf/id/JORFTEXT000044546141</t>
  </si>
  <si>
    <t>Le programme de financement de bornes de recharge pour véhicule électrique</t>
  </si>
  <si>
    <t>https://advenir.mobi|fr</t>
  </si>
  <si>
    <t>https://advenir.mobi</t>
  </si>
  <si>
    <t>Bonus vélo</t>
  </si>
  <si>
    <t>https://www.service-public.fr/particuliers/vosdroits/F35475|fr</t>
  </si>
  <si>
    <t>https://www.service-public.fr/particuliers/vosdroits/F35475</t>
  </si>
  <si>
    <t>Code de l'énergie : Sous-section 1 : Conditions d'attribution (Articles D251-1 à D251-6)</t>
  </si>
  <si>
    <t>https://www.legifrance.gouv.fr/codes/section_lc/LEGITEXT000023983208/LEGISCTA000031748203|fr</t>
  </si>
  <si>
    <t>https://www.legifrance.gouv.fr/codes/section_lc/LEGITEXT000023983208/LEGISCTA000031748203</t>
  </si>
  <si>
    <t>Code de l'énergie : Sous-section 2 : Montants et modalités de versement des aides (Articles D251-7 à D251-13)</t>
  </si>
  <si>
    <t>https://www.legifrance.gouv.fr/codes/id/LEGISCTA000031748217/|fr</t>
  </si>
  <si>
    <t>https://www.legifrance.gouv.fr/codes/id/LEGISCTA000031748217/</t>
  </si>
  <si>
    <t>Décret n° 2021-977 du 23 juillet 2021 relatif aux aides à l'acquisition ou à la location de véhicules peu polluantsDécret n° 2021-977 du 23 juillet 2021 relatif aux aides à l'acquisition ou à la location de véhicules peu polluants</t>
  </si>
  <si>
    <t>https://www.legifrance.gouv.fr/loda/id/JORFTEXT000043852172|fr</t>
  </si>
  <si>
    <t>https://www.legifrance.gouv.fr/loda/id/JORFTEXT000043852172</t>
  </si>
  <si>
    <t>Journal officiel de la République française</t>
  </si>
  <si>
    <t>https://www.legifrance.gouv.fr/affichTexte.do?cidTexte=JORFTEXT000042184845|fr</t>
  </si>
  <si>
    <t>https://www.legifrance.gouv.fr/affichTexte.do?cidTexte=JORFTEXT000042184845</t>
  </si>
  <si>
    <t>Décret n° 2020-656 du 30 mai 2020 relatif aux aides à l'acquisition ou à la location des véhicules peu polluants</t>
  </si>
  <si>
    <t>https://www.legifrance.gouv.fr/affichTexte.do?cidTexte=JORFTEXT000041938774|fr</t>
  </si>
  <si>
    <t>https://www.legifrance.gouv.fr/affichTexte.do?cidTexte=JORFTEXT000041938774</t>
  </si>
  <si>
    <t>Arrêté du 29 décembre 2017 relatif aux modalités de gestion des aides à l'acquisition et à la location des véhicules peu polluants</t>
  </si>
  <si>
    <t>https://www.legifrance.gouv.fr/affichTexte.do?cidTexte=JORFTEXT000036340821|fr</t>
  </si>
  <si>
    <t>https://www.legifrance.gouv.fr/affichTexte.do?cidTexte=JORFTEXT000036340821</t>
  </si>
  <si>
    <t>France’s recovery and resilience plan</t>
  </si>
  <si>
    <t>https://ec.europa.eu/info/business-economy-euro/recovery-coronavirus/recovery-and-resilience-facility/frances-recovery-and-resilience-plan_en|en</t>
  </si>
  <si>
    <t>https://ec.europa.eu/info/business-economy-euro/recovery-coronavirus/recovery-and-resilience-facility/frances-recovery-and-resilience-plan_en</t>
  </si>
  <si>
    <t>Recovery and resilience plan for France - EU Decision</t>
  </si>
  <si>
    <t>https://www.consilium.europa.eu/en/documents-publications/public-register/public-register-search/results/?WordsInSubject=&amp;WordsInText=&amp;DocumentNumber=10162%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</si>
  <si>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10162%2F21&amp;InterinstitutionalFiles=&amp;DocumentDateFrom=&amp;DocumentDateTo=&amp;MeetingDateFrom=&amp;MeetingDateTo=&amp;DocumentLanguage=EN&amp;OrderBy=DOCUMENT_DATE+DESC&amp;ctl00%24ctl00%24cpMain%24cpMain%24btnSubmit=</t>
  </si>
  <si>
    <t>PLAN NATIONAL DE RELANCE ET DE RÉSILIENCE</t>
  </si>
  <si>
    <t>https://www.economie.gouv.fr/files/files/directions_services/plan-de-relance/PNRR%20Francais.pdf|fr</t>
  </si>
  <si>
    <t>https://www.economie.gouv.fr/files/files/directions_services/plan-de-relance/PNRR%20Francais.pdf</t>
  </si>
  <si>
    <t>https://ec.europa.eu/info/sites/default/files/france-recovery-resilience-factsheet_en.pdf|en</t>
  </si>
  <si>
    <t>https://ec.europa.eu/info/sites/default/files/france-recovery-resilience-factsheet_en.pdf</t>
  </si>
  <si>
    <t xml:space="preserve">
დადგენილება №54 კლიმატის ცვლილების საბჭოს შექმნის შესახებ</t>
  </si>
  <si>
    <t>Georgia</t>
  </si>
  <si>
    <t>GEO</t>
  </si>
  <si>
    <t>Georgian</t>
  </si>
  <si>
    <t>https://www.matsne.gov.ge/ka/document/view/4780380?publication=0|ka</t>
  </si>
  <si>
    <t>https://www.matsne.gov.ge/ka/document/view/4780380?publication=0</t>
  </si>
  <si>
    <t xml:space="preserve">
დადგენილება №214 „კლიმატის ცვლილების საბჭოს შექმნის შესახებ“ საქართველოს მთავრობის 2020 წლის 23 იანვრის №54 დადგენილებაში ცვლილების შეტანის თაობაზე</t>
  </si>
  <si>
    <t>https://www.matsne.gov.ge/ka/document/view/5167071?publication=0|ka</t>
  </si>
  <si>
    <t>https://www.matsne.gov.ge/ka/document/view/5167071?publication=0</t>
  </si>
  <si>
    <t>http://www.eiec.gov.ge/getattachment/30bb3f45-7d2e-442d-8b47-26bd650e72db/CSAP-01-12-2020.pdf.aspx|ka</t>
  </si>
  <si>
    <t>http://www.eiec.gov.ge/getattachment/30bb3f45-7d2e-442d-8b47-26bd650e72db/CSAP-01-12-2020.pdf.aspx</t>
  </si>
  <si>
    <t>text/html; charset=us-ascii</t>
  </si>
  <si>
    <t>2021-2023 Climate Action Plan_ENG</t>
  </si>
  <si>
    <t>https://climate-laws.org/rails/active_storage/blobs/eyJfcmFpbHMiOnsibWVzc2FnZSI6IkJBaHBBcTBPIiwiZXhwIjpudWxsLCJwdXIiOiJibG9iX2lkIn19--7760465d29a8f14cbe7d083eb4ec73668167b477/2021-2023%20Climate%20Action%20Plan_ENG.docx|en</t>
  </si>
  <si>
    <t>https://climate-laws.org/rails/active_storage/blobs/eyJfcmFpbHMiOnsibWVzc2FnZSI6IkJBaHBBcTBPIiwiZXhwIjpudWxsLCJwdXIiOiJibG9iX2lkIn19--7760465d29a8f14cbe7d083eb4ec73668167b477/2021-2023%20Climate%20Action%20Plan_ENG.docx</t>
  </si>
  <si>
    <t>ON PROMOTING THE GENERATION AND CONSUMPTION OF ENERGY FROM RENEWABLE SOURCES</t>
  </si>
  <si>
    <t>https://matsne.gov.ge/en/document/view/4737753?publication=1|en</t>
  </si>
  <si>
    <t>https://matsne.gov.ge/en/document/view/4737753?publication=1</t>
  </si>
  <si>
    <t>„განახლებადი წყაროებიდან ენერგიის წარმოებისა და გამოყენების წახალისების შესახებ“ საქართველოს კანონში ცვლილების შეტანის თაობაზე</t>
  </si>
  <si>
    <t>https://matsne.gov.ge/ka/document/view/4912479?publication=0|ka</t>
  </si>
  <si>
    <t>https://matsne.gov.ge/ka/document/view/4912479?publication=0</t>
  </si>
  <si>
    <t>საქართველოს კანონი
თავი I. ზოგადი დებულებები</t>
  </si>
  <si>
    <t>http://faolex.fao.org/docs/pdf/geo206590.pdf|ka</t>
  </si>
  <si>
    <t>http://faolex.fao.org/docs/pdf/geo206590.pdf</t>
  </si>
  <si>
    <t>ქარსაფარი (მინდორდაცვითი) ზოლების ინვენტარიზაციის სახელმწიფო პროგრამის დამტკიცების შესახებ</t>
  </si>
  <si>
    <t>On approval of the state program of inventory of windbreak (field protection) strips</t>
  </si>
  <si>
    <t>https://matsne.gov.ge/ka/document/view/5192433?publication=0|ka</t>
  </si>
  <si>
    <t>https://matsne.gov.ge/ka/document/view/5192433?publication=0</t>
  </si>
  <si>
    <t xml:space="preserve">
ბრძანება №2-66 ქარსაფარი ზოლის ინვენტარიზაციის გეგმის დამტკიცების შესახებ</t>
  </si>
  <si>
    <t>On the approval of the windbreak inventory plan</t>
  </si>
  <si>
    <t>https://matsne.gov.ge/ka/document/view/5367256?publication=0|ka</t>
  </si>
  <si>
    <t>https://matsne.gov.ge/ka/document/view/5367256?publication=0</t>
  </si>
  <si>
    <t>Deutsche Anpassungsstrategie an den Klimawandel</t>
  </si>
  <si>
    <t>German adaptation strategy to climate change</t>
  </si>
  <si>
    <t>Germany</t>
  </si>
  <si>
    <t>DEU</t>
  </si>
  <si>
    <t>German</t>
  </si>
  <si>
    <t>https://climate-laws.org/rails/active_storage/blobs/eyJfcmFpbHMiOnsibWVzc2FnZSI6IkJBaHBBbWtKIiwiZXhwIjpudWxsLCJwdXIiOiJibG9iX2lkIn19--ad384273fe09cba35351c1510bd4bee3bebc1fc1/f|</t>
  </si>
  <si>
    <t>https://climate-laws.org/rails/active_storage/blobs/eyJfcmFpbHMiOnsibWVzc2FnZSI6IkJBaHBBbWtKIiwiZXhwIjpudWxsLCJwdXIiOiJibG9iX2lkIn19--ad384273fe09cba35351c1510bd4bee3bebc1fc1/f</t>
  </si>
  <si>
    <t>https://climate-laws.org/rails/active_storage/blobs/eyJfcmFpbHMiOnsibWVzc2FnZSI6IkJBaHBBbW9KIiwiZXhwIjpudWxsLCJwdXIiOiJibG9iX2lkIn19--52ad93022def6fcc5048c30ea6903e3b7f28bdc6/f|</t>
  </si>
  <si>
    <t>https://climate-laws.org/rails/active_storage/blobs/eyJfcmFpbHMiOnsibWVzc2FnZSI6IkJBaHBBbW9KIiwiZXhwIjpudWxsLCJwdXIiOiJibG9iX2lkIn19--52ad93022def6fcc5048c30ea6903e3b7f28bdc6/f</t>
  </si>
  <si>
    <t>Gesetz über die Elektrizitäts- und Gasversorgung (Energiewirtschaftsgesetz - EnWG)</t>
  </si>
  <si>
    <t>https://climate-laws.org/rails/active_storage/blobs/eyJfcmFpbHMiOnsibWVzc2FnZSI6IkJBaHBBaFVLIiwiZXhwIjpudWxsLCJwdXIiOiJibG9iX2lkIn19--7a0038dca5def7e94b1cf914b41ea579ef6641fb/f|de</t>
  </si>
  <si>
    <t>https://climate-laws.org/rails/active_storage/blobs/eyJfcmFpbHMiOnsibWVzc2FnZSI6IkJBaHBBaFVLIiwiZXhwIjpudWxsLCJwdXIiOiJibG9iX2lkIn19--7a0038dca5def7e94b1cf914b41ea579ef6641fb/f</t>
  </si>
  <si>
    <t>http://www.gesetze-im-internet.de/enwg_2005/BJNR197010005.html|de</t>
  </si>
  <si>
    <t>http://www.gesetze-im-internet.de/enwg_2005/BJNR197010005.html</t>
  </si>
  <si>
    <t>Gesetz für den Ausbau erneuerbarer Energien (ErneuerbareEnergien-Gesetz - EEG 2017)</t>
  </si>
  <si>
    <t>https://climate-laws.org/rails/active_storage/blobs/eyJfcmFpbHMiOnsibWVzc2FnZSI6IkJBaHBBdTBIIiwiZXhwIjpudWxsLCJwdXIiOiJibG9iX2lkIn19--37411ac97fc767b295753e19589af3aa27d34088/f|de</t>
  </si>
  <si>
    <t>https://climate-laws.org/rails/active_storage/blobs/eyJfcmFpbHMiOnsibWVzc2FnZSI6IkJBaHBBdTBIIiwiZXhwIjpudWxsLCJwdXIiOiJibG9iX2lkIn19--37411ac97fc767b295753e19589af3aa27d34088/f</t>
  </si>
  <si>
    <t>Gesetz für den Ausbau erneuerbarer Energien (ErneuerbareEnergien-Gesetz - EEG 2021)</t>
  </si>
  <si>
    <t>https://www.gesetze-im-internet.de/eeg_2014/EEG_2021.pdf|de</t>
  </si>
  <si>
    <t>https://www.gesetze-im-internet.de/eeg_2014/EEG_2021.pdf</t>
  </si>
  <si>
    <t>Gesetz zur Entwicklung und Förderung der Windenergie auf See (Windenergie-auf-See-Gesetz - WindSeeG)</t>
  </si>
  <si>
    <t>https://climate-laws.org/rails/active_storage/blobs/eyJfcmFpbHMiOnsibWVzc2FnZSI6IkJBaHBBb2dGIiwiZXhwIjpudWxsLCJwdXIiOiJibG9iX2lkIn19--3d642c2bab212b54b2038274c52c405fcc6404da/f|de</t>
  </si>
  <si>
    <t>https://climate-laws.org/rails/active_storage/blobs/eyJfcmFpbHMiOnsibWVzc2FnZSI6IkJBaHBBb2dGIiwiZXhwIjpudWxsLCJwdXIiOiJibG9iX2lkIn19--3d642c2bab212b54b2038274c52c405fcc6404da/f</t>
  </si>
  <si>
    <t>Offshore Wind Energy Act (WindSeeG 2017)</t>
  </si>
  <si>
    <t>https://climate-laws.org/rails/active_storage/blobs/eyJfcmFpbHMiOnsibWVzc2FnZSI6IkJBaHBBb2tGIiwiZXhwIjpudWxsLCJwdXIiOiJibG9iX2lkIn19--71195783e4189cfdd234981b13564f1dde7db528/f|en</t>
  </si>
  <si>
    <t>https://climate-laws.org/rails/active_storage/blobs/eyJfcmFpbHMiOnsibWVzc2FnZSI6IkJBaHBBb2tGIiwiZXhwIjpudWxsLCJwdXIiOiJibG9iX2lkIn19--71195783e4189cfdd234981b13564f1dde7db528/f</t>
  </si>
  <si>
    <t>http://www.gesetze-im-internet.de/windseeg/WindSeeG.pdf|de</t>
  </si>
  <si>
    <t>http://www.gesetze-im-internet.de/windseeg/WindSeeG.pdf</t>
  </si>
  <si>
    <t>http://www.gesetze-im-internet.de/windseeg/|de</t>
  </si>
  <si>
    <t>http://www.gesetze-im-internet.de/windseeg/</t>
  </si>
  <si>
    <t>Bundesgesetzblatt Teil I Nr. 48</t>
  </si>
  <si>
    <t>https://www.bgbl.de/xaver/bgbl/start.xav?startbk=Bundesanzeiger_BGBl&amp;start=//*[@attr_id=%27bgbl119s0010.pdf%27]#__bgbl__%2F%2F*%5B%40attr_id%3D%27bgbl119s2513.pdf%27%5D__1585596608255|de</t>
  </si>
  <si>
    <t>https://www.bgbl.de/xaver/bgbl/start.xav?startbk=Bundesanzeiger_BGBl&amp;start=//*[@attr_id=%27bgbl119s0010.pdf%27]#__bgbl__%2F%2F*%5B%40attr_id%3D%27bgbl119s2513.pdf%27%5D__1585596608255</t>
  </si>
  <si>
    <t>https://www.bmu.de/download/klimaschutzprogramm-2030-zur-umsetzung-des-klimaschutzplans-2050/|de</t>
  </si>
  <si>
    <t>https://www.bmu.de/download/klimaschutzprogramm-2030-zur-umsetzung-des-klimaschutzplans-2050/</t>
  </si>
  <si>
    <t>Federal Climate Change Act</t>
  </si>
  <si>
    <t>http://www.gesetze-im-internet.de/englisch_ksg/englisch_ksg.pdf|en</t>
  </si>
  <si>
    <t>http://www.gesetze-im-internet.de/englisch_ksg/englisch_ksg.pdf</t>
  </si>
  <si>
    <t>Lesefassung des Bundes-Klimaschutzgesetzes 2021</t>
  </si>
  <si>
    <t>https://www.bmu.de/fileadmin/Daten_BMU/Download_PDF/Klimaschutz/ksg_aendg_2021_bf.pdf|de</t>
  </si>
  <si>
    <t>https://www.bmu.de/fileadmin/Daten_BMU/Download_PDF/Klimaschutz/ksg_aendg_2021_bf.pdf</t>
  </si>
  <si>
    <t>Climate Change Act 2021</t>
  </si>
  <si>
    <t>https://www.bundesregierung.de/breg-de/themen/klimaschutz/climate-change-act-2021-1913970|en</t>
  </si>
  <si>
    <t>https://www.bundesregierung.de/breg-de/themen/klimaschutz/climate-change-act-2021-1913970</t>
  </si>
  <si>
    <t>Integrated National Energy and Climate Plan</t>
  </si>
  <si>
    <t>https://ec.europa.eu/energy/sites/ener/files/documents/de_final_necp_main_en.pdf|en</t>
  </si>
  <si>
    <t>https://ec.europa.eu/energy/sites/ener/files/documents/de_final_necp_main_en.pdf</t>
  </si>
  <si>
    <t>Integrierter Nationaler Energie- und Klimaplan</t>
  </si>
  <si>
    <t>https://ec.europa.eu/energy/sites/ener/files/de_final_necp_main_de.pdf|de</t>
  </si>
  <si>
    <t>https://ec.europa.eu/energy/sites/ener/files/de_final_necp_main_de.pdf</t>
  </si>
  <si>
    <t>Gesetz über einen nationalen Zertifikatehandel für Brennstoffemissionen</t>
  </si>
  <si>
    <t>http://www.gesetze-im-internet.de/behg/|de</t>
  </si>
  <si>
    <t>http://www.gesetze-im-internet.de/behg/</t>
  </si>
  <si>
    <t>Entwurf eines Ersten Gesetzes zur Änderung des Brennstoffemissionshandelsgesetzes</t>
  </si>
  <si>
    <t>https://dip21.bundestag.de/dip21/btd/19/199/1919929.pdf|de</t>
  </si>
  <si>
    <t>https://dip21.bundestag.de/dip21/btd/19/199/1919929.pdf</t>
  </si>
  <si>
    <t>Unterrichtung über die gemäß § 80 Absatz 3 und § 92 der Geschäftsordnung an die Ausschüsse überwiesenen Vorlagen</t>
  </si>
  <si>
    <t>https://dip21.bundestag.de/dip21/btd/19/223/1922346.pdf|de</t>
  </si>
  <si>
    <t>https://dip21.bundestag.de/dip21/btd/19/223/1922346.pdf</t>
  </si>
  <si>
    <t>Germany’s recovery and resilience plan</t>
  </si>
  <si>
    <t>https://ec.europa.eu/info/business-economy-euro/recovery-coronavirus/recovery-and-resilience-facility/germanys-recovery-and-resilience-plan_en|en</t>
  </si>
  <si>
    <t>https://ec.europa.eu/info/business-economy-euro/recovery-coronavirus/recovery-and-resilience-facility/germanys-recovery-and-resilience-plan_en</t>
  </si>
  <si>
    <t>Recovery and resilience plan for Germany - EU Decision</t>
  </si>
  <si>
    <t>https://www.consilium.europa.eu/en/documents-publications/public-register/public-register-search/results/?WordsInSubject=&amp;WordsInText=&amp;DocumentNumber=10158%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</si>
  <si>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10158%2F21&amp;InterinstitutionalFiles=&amp;DocumentDateFrom=&amp;DocumentDateTo=&amp;MeetingDateFrom=&amp;MeetingDateTo=&amp;DocumentLanguage=EN&amp;OrderBy=DOCUMENT_DATE+DESC&amp;ctl00%24ctl00%24cpMain%24cpMain%24btnSubmit=</t>
  </si>
  <si>
    <t>Factsheet: Germany’s recovery and resilience plan</t>
  </si>
  <si>
    <t>Summary</t>
  </si>
  <si>
    <t>https://ec.europa.eu/info/files/factsheet-germanys-recovery-and-resilience-plan_en|en</t>
  </si>
  <si>
    <t>https://ec.europa.eu/info/files/factsheet-germanys-recovery-and-resilience-plan_en</t>
  </si>
  <si>
    <t>Deut­scher Auf­bau- und Re­si­li­enz­plan (DARP)</t>
  </si>
  <si>
    <t>https://www.bundesfinanzministerium.de/Content/DE/Standardartikel/Themen/Europa/DARP/deutscher-aufbau-und-resilienzplan.html|de</t>
  </si>
  <si>
    <t>https://www.bundesfinanzministerium.de/Content/DE/Standardartikel/Themen/Europa/DARP/deutscher-aufbau-und-resilienzplan.html</t>
  </si>
  <si>
    <t>GHANA SHARED GROWTH AND DEVELOPMENT AGENDA (GSGDA) II</t>
  </si>
  <si>
    <t>Ghana</t>
  </si>
  <si>
    <t>GHA</t>
  </si>
  <si>
    <t>Agenda</t>
  </si>
  <si>
    <t>https://climate-laws.org/rails/active_storage/blobs/eyJfcmFpbHMiOnsibWVzc2FnZSI6IkJBaHBBZzRLIiwiZXhwIjpudWxsLCJwdXIiOiJibG9iX2lkIn19--3bd8745888f790fd15b942c00aac2aadd9057765/f|</t>
  </si>
  <si>
    <t>https://climate-laws.org/rails/active_storage/blobs/eyJfcmFpbHMiOnsibWVzc2FnZSI6IkJBaHBBZzRLIiwiZXhwIjpudWxsLCJwdXIiOiJibG9iX2lkIn19--3bd8745888f790fd15b942c00aac2aadd9057765/f</t>
  </si>
  <si>
    <t>https://climate-laws.org/rails/active_storage/blobs/eyJfcmFpbHMiOnsibWVzc2FnZSI6IkJBaHBBZzhLIiwiZXhwIjpudWxsLCJwdXIiOiJibG9iX2lkIn19--b7ff52211c52565e28151393608480899da12111/f|</t>
  </si>
  <si>
    <t>https://climate-laws.org/rails/active_storage/blobs/eyJfcmFpbHMiOnsibWVzc2FnZSI6IkJBaHBBZzhLIiwiZXhwIjpudWxsLCJwdXIiOiJibG9iX2lkIn19--b7ff52211c52565e28151393608480899da12111/f</t>
  </si>
  <si>
    <t>ΝΕΟ ΚΑΘΕΣΤΩΣ ΣΤΗΡΙΞΗΣ ΤΩΝ ΣΤΑΘΜΩΝ ΠΑΡΑΓΩΓΗΣ ΗΛΕΚΤΡΙΚΗΣ ΕΝΕΡΓΕΙΑΣ ΑΠΟ ΑΝΑΝΕΩΣΙΜΕΣ ΠΗΓΕΣ ΕΝΕΡΓΕΙΑΣ ΚΑΙ ΣΥΜΠΑΡΑΓΩΓΗ ΗΛΕΚΤΡΙΣΜΟΥ ΚΑΙ ΘΕΡΜΟΤΗΤΑΣ ΥΨΗΛΗΣ ΑΠΟΔΟΣΗΣ</t>
  </si>
  <si>
    <t>Greece</t>
  </si>
  <si>
    <t>GRC</t>
  </si>
  <si>
    <t>https://www.kodiko.gr/nomologia/document_navigation/237723/nomos-4414-2016|</t>
  </si>
  <si>
    <t>https://www.kodiko.gr/nomologia/document_navigation/237723/nomos-4414-2016</t>
  </si>
  <si>
    <t>ΕΦΗΜΕΡΙ∆Α ΤΗΣ ΚΥΒΕΡΝΗΣΕΩΣ ΤΗΣ ΕΛΛΗΝΙΚΗΣ ∆ΗΜΟΚΡΑΤΙΑΣ</t>
  </si>
  <si>
    <t>Modern Greek (1453-)</t>
  </si>
  <si>
    <t>https://climate-laws.org/rails/active_storage/blobs/eyJfcmFpbHMiOnsibWVzc2FnZSI6IkJBaHBBdlFGIiwiZXhwIjpudWxsLCJwdXIiOiJibG9iX2lkIn19--cb9d409f9a2d2921b3e06532dd47d60ab0e7c36a/f|</t>
  </si>
  <si>
    <t>https://climate-laws.org/rails/active_storage/blobs/eyJfcmFpbHMiOnsibWVzc2FnZSI6IkJBaHBBdlFGIiwiZXhwIjpudWxsLCJwdXIiOiJibG9iX2lkIn19--cb9d409f9a2d2921b3e06532dd47d60ab0e7c36a/f</t>
  </si>
  <si>
    <t>ΕΘΝΙΚΗ ΣΤΡΑΤΗΓΙΚΗ ΓΙΑ ΤΗΝ ΠΡΟΣΑΡΜΟΓΗ ΣΤΗΝ ΚΛΙΜΑΤΙΚΗ ΑΛΛΑΓΗ</t>
  </si>
  <si>
    <t>https://climate-laws.org/rails/active_storage/blobs/eyJfcmFpbHMiOnsibWVzc2FnZSI6IkJBaHBBdU1GIiwiZXhwIjpudWxsLCJwdXIiOiJibG9iX2lkIn19--460a41f27cd5e4964b3a465dc2b4c84e71cddffa/f|</t>
  </si>
  <si>
    <t>https://climate-laws.org/rails/active_storage/blobs/eyJfcmFpbHMiOnsibWVzc2FnZSI6IkJBaHBBdU1GIiwiZXhwIjpudWxsLCJwdXIiOiJibG9iX2lkIn19--460a41f27cd5e4964b3a465dc2b4c84e71cddffa/f</t>
  </si>
  <si>
    <t>NATIONAL CLIMATE CHANGE ADAPTATION STRATEGY</t>
  </si>
  <si>
    <t>https://climate-laws.org/rails/active_storage/blobs/eyJfcmFpbHMiOnsibWVzc2FnZSI6IkJBaHBBdVFGIiwiZXhwIjpudWxsLCJwdXIiOiJibG9iX2lkIn19--c6535ca9b15ef270902f553e9bf87b8b9bd7f410/f|</t>
  </si>
  <si>
    <t>https://climate-laws.org/rails/active_storage/blobs/eyJfcmFpbHMiOnsibWVzc2FnZSI6IkJBaHBBdVFGIiwiZXhwIjpudWxsLCJwdXIiOiJibG9iX2lkIn19--c6535ca9b15ef270902f553e9bf87b8b9bd7f410/f</t>
  </si>
  <si>
    <t xml:space="preserve">Νόμος 4685/2020 - ΦΕΚ 92/Α/7-5-2020 (Κωδικοποιημένος)
</t>
  </si>
  <si>
    <t>https://www.e-nomothesia.gr/kat-periballon/nomos-4685-2020-phek-92a-7-5-2020.html|el</t>
  </si>
  <si>
    <t>https://www.e-nomothesia.gr/kat-periballon/nomos-4685-2020-phek-92a-7-5-2020.html</t>
  </si>
  <si>
    <t>ΝΟΜΟΘΕΤΙΚΟ ΕΡΓΟ</t>
  </si>
  <si>
    <t>https://www.hellenicparliament.gr/Nomothetiko-Ergo/Anazitisi-Nomothetikou-Ergou?law_id=2d2016aa-ebb1-43cf-a88b-aba7018724bc|el</t>
  </si>
  <si>
    <t>https://www.hellenicparliament.gr/Nomothetiko-Ergo/Anazitisi-Nomothetikou-Ergou?law_id=2d2016aa-ebb1-43cf-a88b-aba7018724bc</t>
  </si>
  <si>
    <t>National Energy and Climate Plan</t>
  </si>
  <si>
    <t>https://ec.europa.eu/energy/sites/ener/files/el_final_necp_main_en.pdf|en</t>
  </si>
  <si>
    <t>https://ec.europa.eu/energy/sites/ener/files/el_final_necp_main_en.pdf</t>
  </si>
  <si>
    <t>https://ec.europa.eu/energy/sites/ener/files/documents/el_final_necp_main_el.pdf|el</t>
  </si>
  <si>
    <t>https://ec.europa.eu/energy/sites/ener/files/documents/el_final_necp_main_el.pdf</t>
  </si>
  <si>
    <t>Greece’s recovery and resilience plan</t>
  </si>
  <si>
    <t>https://ec.europa.eu/info/business-economy-euro/recovery-coronavirus/recovery-and-resilience-facility/greeces-recovery-and-resilience-plan_en|en</t>
  </si>
  <si>
    <t>https://ec.europa.eu/info/business-economy-euro/recovery-coronavirus/recovery-and-resilience-facility/greeces-recovery-and-resilience-plan_en</t>
  </si>
  <si>
    <t>Recovery and resilience plan for Greece - EU Decision</t>
  </si>
  <si>
    <t>https://www.consilium.europa.eu/en/documents-publications/public-register/public-register-search/results/?WordsInSubject=Council+Implementing+Decision+on+the+approval+of+the+assessment+of+the+recovery+and+resilience+plan+of+Greece&amp;WordsInText=&amp;DocumentNumber=&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</si>
  <si>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Council+Implementing+Decision+on+the+approval+of+the+assessment+of+the+recovery+and+resilience+plan+of+Greece&amp;WordsInText=&amp;DocumentNumber=&amp;InterinstitutionalFiles=&amp;DocumentDateFrom=&amp;DocumentDateTo=&amp;MeetingDateFrom=&amp;MeetingDateTo=&amp;DocumentLanguage=EN&amp;OrderBy=DOCUMENT_DATE+DESC&amp;ctl00%24ctl00%24cpMain%24cpMain%24btnSubmit=</t>
  </si>
  <si>
    <t>Factsheet: Greece’s recovery and resilience plan</t>
  </si>
  <si>
    <t>https://ec.europa.eu/info/files/factsheet-greeces-recovery-and-resilience-plan_en|en</t>
  </si>
  <si>
    <t>https://ec.europa.eu/info/files/factsheet-greeces-recovery-and-resilience-plan_en</t>
  </si>
  <si>
    <t>https://ec.europa.eu/info/files/greeces-recovery-and-resilience-plan_en|el</t>
  </si>
  <si>
    <t>https://ec.europa.eu/info/files/greeces-recovery-and-resilience-plan_en</t>
  </si>
  <si>
    <t>Greece 2.0</t>
  </si>
  <si>
    <t>https://greece20.gov.gr|el</t>
  </si>
  <si>
    <t>https://greece20.gov.gr</t>
  </si>
  <si>
    <t>Plan national de développement économique et social 2016-2020</t>
  </si>
  <si>
    <t>Guinea</t>
  </si>
  <si>
    <t>GIN</t>
  </si>
  <si>
    <t>https://pndesguinee.org/images/documents/pndes/PNDES%20Volume%201.pdf|fr</t>
  </si>
  <si>
    <t>https://pndesguinee.org/images/documents/pndes/PNDES%20Volume%201.pdf</t>
  </si>
  <si>
    <t>Le Plan National de Développement Economique et Social (PNDES) 2016-2020</t>
  </si>
  <si>
    <t>https://pndesguinee.org|fr</t>
  </si>
  <si>
    <t>https://pndesguinee.org</t>
  </si>
  <si>
    <t>Poder Legislativo DECRETO No. 66-2014</t>
  </si>
  <si>
    <t>Honduras</t>
  </si>
  <si>
    <t>HND</t>
  </si>
  <si>
    <t>https://climate-laws.org/rails/active_storage/blobs/eyJfcmFpbHMiOnsibWVzc2FnZSI6IkJBaHBBb0VJIiwiZXhwIjpudWxsLCJwdXIiOiJibG9iX2lkIn19--95b9db402c29bb6b5a71a3cbf59ce59a5bf0dfe0/f|es</t>
  </si>
  <si>
    <t>https://climate-laws.org/rails/active_storage/blobs/eyJfcmFpbHMiOnsibWVzc2FnZSI6IkJBaHBBb0VJIiwiZXhwIjpudWxsLCJwdXIiOiJibG9iX2lkIn19--95b9db402c29bb6b5a71a3cbf59ce59a5bf0dfe0/f</t>
  </si>
  <si>
    <t>Poder Legislativo DECRETO No. 297-2013</t>
  </si>
  <si>
    <t>https://observatoriop10.cepal.org/sites/default/files/documents/hn_-_ley_del_cambio_climatico_y_otros_decretos.pdf|es</t>
  </si>
  <si>
    <t>https://observatoriop10.cepal.org/sites/default/files/documents/hn_-_ley_del_cambio_climatico_y_otros_decretos.pdf</t>
  </si>
  <si>
    <t>POLÍTICA NACIONAL FORESTAL, ÁREAS PROTEGIDAS Y VIDA SILVESTRE</t>
  </si>
  <si>
    <t>https://sgpr.gob.hn/SGPR.Admin2019/Content/Uploads/repositorio/637342182811751490-22.%20Pol%C3%ADtica%20Forestal%20AP%20y%20Vida%20Silvestre.pdf|es</t>
  </si>
  <si>
    <t>https://sgpr.gob.hn/SGPR.Admin2019/Content/Uploads/repositorio/637342182811751490-22.%20Pol%C3%ADtica%20Forestal%20AP%20y%20Vida%20Silvestre.pdf</t>
  </si>
  <si>
    <t>PROGRAMA NACIONAL FORESTAL, AREAS PROTEGIDAS Y VIDA SILVESTRE PRONAFOR</t>
  </si>
  <si>
    <t>http://extwprlegs1.fao.org/docs/pdf/hon121723.pdf|es</t>
  </si>
  <si>
    <t>http://extwprlegs1.fao.org/docs/pdf/hon121723.pdf</t>
  </si>
  <si>
    <t>Nemzeti Éghajlatváltozási Stratégia 2008-2025</t>
  </si>
  <si>
    <t>Hungary</t>
  </si>
  <si>
    <t>HUN</t>
  </si>
  <si>
    <t>Hungarian</t>
  </si>
  <si>
    <t>https://climate-laws.org/rails/active_storage/blobs/eyJfcmFpbHMiOnsibWVzc2FnZSI6IkJBaHBBdTBKIiwiZXhwIjpudWxsLCJwdXIiOiJibG9iX2lkIn19--1a14fd6d21b5b77653924080e3d6035d789947df/f|</t>
  </si>
  <si>
    <t>https://climate-laws.org/rails/active_storage/blobs/eyJfcmFpbHMiOnsibWVzc2FnZSI6IkJBaHBBdTBKIiwiZXhwIjpudWxsLCJwdXIiOiJibG9iX2lkIn19--1a14fd6d21b5b77653924080e3d6035d789947df/f</t>
  </si>
  <si>
    <t>NATIONAL CLIMATE CHANGE STRATEGY</t>
  </si>
  <si>
    <t>https://climate-laws.org/rails/active_storage/blobs/eyJfcmFpbHMiOnsibWVzc2FnZSI6IkJBaHBBdTRKIiwiZXhwIjpudWxsLCJwdXIiOiJibG9iX2lkIn19--39e20e483e1c1b65efbcf5a14250040757318af3/f|</t>
  </si>
  <si>
    <t>https://climate-laws.org/rails/active_storage/blobs/eyJfcmFpbHMiOnsibWVzc2FnZSI6IkJBaHBBdTRKIiwiZXhwIjpudWxsLCJwdXIiOiJibG9iX2lkIn19--39e20e483e1c1b65efbcf5a14250040757318af3/f</t>
  </si>
  <si>
    <t>https://ec.europa.eu/energy/sites/ener/files/documents/hu_final_necp_main_en.pdf|en</t>
  </si>
  <si>
    <t>https://ec.europa.eu/energy/sites/ener/files/documents/hu_final_necp_main_en.pdf</t>
  </si>
  <si>
    <t>Nemzeti Energia- és Klímaterv</t>
  </si>
  <si>
    <t>https://ec.europa.eu/energy/sites/ener/files/documents/hu_final_necp_main_hu.pdf|hu</t>
  </si>
  <si>
    <t>https://ec.europa.eu/energy/sites/ener/files/documents/hu_final_necp_main_hu.pdf</t>
  </si>
  <si>
    <t>HUNGARY’S NATIONAL HYDROGEN STRATEGY</t>
  </si>
  <si>
    <t>https://cdn.kormany.hu/uploads/document/a/a2/a2b/a2b2b7ed5179b17694659b8f050ba9648e75a0bf.pdf|en</t>
  </si>
  <si>
    <t>https://cdn.kormany.hu/uploads/document/a/a2/a2b/a2b2b7ed5179b17694659b8f050ba9648e75a0bf.pdf</t>
  </si>
  <si>
    <t>MAGYARORSZÁG NEMZETI HIDROGÉNSTRATÉGIÁJA</t>
  </si>
  <si>
    <t>https://cdn.kormany.hu/uploads/document/6/61/61a/61aa5f835ccf3e726fb5795f766f3768f7f829c1.pdf|hu</t>
  </si>
  <si>
    <t>https://cdn.kormany.hu/uploads/document/6/61/61a/61aa5f835ccf3e726fb5795f766f3768f7f829c1.pdf</t>
  </si>
  <si>
    <t>Hungary’s recovery and resilience plan</t>
  </si>
  <si>
    <t>https://ec.europa.eu/info/business-economy-euro/recovery-coronavirus/recovery-and-resilience-facility/recovery-and-resilience-plan-hungary_en|en</t>
  </si>
  <si>
    <t>https://ec.europa.eu/info/business-economy-euro/recovery-coronavirus/recovery-and-resilience-facility/recovery-and-resilience-plan-hungary_en</t>
  </si>
  <si>
    <t>Magyarország Helyreállítási és Ellenállóképességi Terve</t>
  </si>
  <si>
    <t>https://climate-laws.org/rails/active_storage/blobs/eyJfcmFpbHMiOnsibWVzc2FnZSI6IkJBaHBBdm9PIiwiZXhwIjpudWxsLCJwdXIiOiJibG9iX2lkIn19--dee1c0e03b6262bd9b607fd1507789ae2d1342be/Final_RRP_Hungary%20_20210702-1.pdf|hu</t>
  </si>
  <si>
    <t>https://climate-laws.org/rails/active_storage/blobs/eyJfcmFpbHMiOnsibWVzc2FnZSI6IkJBaHBBdm9PIiwiZXhwIjpudWxsLCJwdXIiOiJibG9iX2lkIn19--dee1c0e03b6262bd9b607fd1507789ae2d1342be/Final_RRP_Hungary%20_20210702-1.pdf</t>
  </si>
  <si>
    <t>REGLUGERÐ um losunarleyfi rekstraraðila í viðskiptakerfi ESB með losunarheimildir.</t>
  </si>
  <si>
    <t>Iceland</t>
  </si>
  <si>
    <t>ISL</t>
  </si>
  <si>
    <t>Icelandic</t>
  </si>
  <si>
    <t>https://climate-laws.org/rails/active_storage/blobs/eyJfcmFpbHMiOnsibWVzc2FnZSI6IkJBaHBBc0lKIiwiZXhwIjpudWxsLCJwdXIiOiJibG9iX2lkIn19--a4cff39f34ebadb43b92374a633975948dda294f/f|</t>
  </si>
  <si>
    <t>https://climate-laws.org/rails/active_storage/blobs/eyJfcmFpbHMiOnsibWVzc2FnZSI6IkJBaHBBc0lKIiwiZXhwIjpudWxsLCJwdXIiOiJibG9iX2lkIn19--a4cff39f34ebadb43b92374a633975948dda294f/f</t>
  </si>
  <si>
    <t>REGLUGERÐ um breytingu á reglugerð nr. 70/2013 um losunarleyfi rekstraraðila í viðskiptakerfi ESB með losunarheimildir.</t>
  </si>
  <si>
    <t>https://climate-laws.org/rails/active_storage/blobs/eyJfcmFpbHMiOnsibWVzc2FnZSI6IkJBaHBBc01KIiwiZXhwIjpudWxsLCJwdXIiOiJibG9iX2lkIn19--79f495aedace55ddc4969920c5011dfffbaf391a/f|</t>
  </si>
  <si>
    <t>https://climate-laws.org/rails/active_storage/blobs/eyJfcmFpbHMiOnsibWVzc2FnZSI6IkJBaHBBc01KIiwiZXhwIjpudWxsLCJwdXIiOiJibG9iX2lkIn19--79f495aedace55ddc4969920c5011dfffbaf391a/f</t>
  </si>
  <si>
    <t>Iceland’s Climate Action Plan for 2018-2030</t>
  </si>
  <si>
    <t>https://www.government.is/lisalib/getfile.aspx?itemid=5b3c6c45-f326-11e8-942f-005056bc4d74|en</t>
  </si>
  <si>
    <t>https://www.government.is/lisalib/getfile.aspx?itemid=5b3c6c45-f326-11e8-942f-005056bc4d74</t>
  </si>
  <si>
    <t>Iceland’s 2020 Climate Action Plan</t>
  </si>
  <si>
    <t>https://www.government.is/library/01-Ministries/Ministry-for-The-Environment/201004%20Umhverfisraduneytid%20Adgerdaaaetlun%20EN%20V2.pdf|en</t>
  </si>
  <si>
    <t>https://www.government.is/library/01-Ministries/Ministry-for-The-Environment/201004%20Umhverfisraduneytid%20Adgerdaaaetlun%20EN%20V2.pdf</t>
  </si>
  <si>
    <t>Draft National Electricity Plan Volume I</t>
  </si>
  <si>
    <t>India</t>
  </si>
  <si>
    <t>IND</t>
  </si>
  <si>
    <t>https://climate-laws.org/rails/active_storage/blobs/eyJfcmFpbHMiOnsibWVzc2FnZSI6IkJBaHBBbFVJIiwiZXhwIjpudWxsLCJwdXIiOiJibG9iX2lkIn19--0501529e4b4a9684e763d638f8b577445cf4fc58/f|</t>
  </si>
  <si>
    <t>https://climate-laws.org/rails/active_storage/blobs/eyJfcmFpbHMiOnsibWVzc2FnZSI6IkJBaHBBbFVJIiwiZXhwIjpudWxsLCJwdXIiOiJibG9iX2lkIn19--0501529e4b4a9684e763d638f8b577445cf4fc58/f</t>
  </si>
  <si>
    <t>National Electricity Plan Volume I</t>
  </si>
  <si>
    <t>https://climate-laws.org/rails/active_storage/blobs/eyJfcmFpbHMiOnsibWVzc2FnZSI6IkJBaHBBbFlJIiwiZXhwIjpudWxsLCJwdXIiOiJibG9iX2lkIn19--2ea1ce34862cdd2ecc68b4f4361a94b020e127cf/f|</t>
  </si>
  <si>
    <t>https://climate-laws.org/rails/active_storage/blobs/eyJfcmFpbHMiOnsibWVzc2FnZSI6IkJBaHBBbFlJIiwiZXhwIjpudWxsLCJwdXIiOiJibG9iX2lkIn19--2ea1ce34862cdd2ecc68b4f4361a94b020e127cf/f</t>
  </si>
  <si>
    <t>Clean Energy Cess Rules, 2010.</t>
  </si>
  <si>
    <t>https://climate-laws.org/rails/active_storage/blobs/eyJfcmFpbHMiOnsibWVzc2FnZSI6IkJBaHBBdDBKIiwiZXhwIjpudWxsLCJwdXIiOiJibG9iX2lkIn19--33ad1c7df713d5ab53c00e12fa8251ed61a816cc/f|</t>
  </si>
  <si>
    <t>https://climate-laws.org/rails/active_storage/blobs/eyJfcmFpbHMiOnsibWVzc2FnZSI6IkJBaHBBdDBKIiwiZXhwIjpudWxsLCJwdXIiOiJibG9iX2lkIn19--33ad1c7df713d5ab53c00e12fa8251ed61a816cc/f</t>
  </si>
  <si>
    <t>THE FINANCE BILL, 2010</t>
  </si>
  <si>
    <t>https://climate-laws.org/rails/active_storage/blobs/eyJfcmFpbHMiOnsibWVzc2FnZSI6IkJBaHBBdDRKIiwiZXhwIjpudWxsLCJwdXIiOiJibG9iX2lkIn19--a2788ca42382ea59ae324bfcd4a7581310baa9cd/f|</t>
  </si>
  <si>
    <t>https://climate-laws.org/rails/active_storage/blobs/eyJfcmFpbHMiOnsibWVzc2FnZSI6IkJBaHBBdDRKIiwiZXhwIjpudWxsLCJwdXIiOiJibG9iX2lkIn19--a2788ca42382ea59ae324bfcd4a7581310baa9cd/f</t>
  </si>
  <si>
    <t>https://climate-laws.org/rails/active_storage/blobs/eyJfcmFpbHMiOnsibWVzc2FnZSI6IkJBaHBBdDhKIiwiZXhwIjpudWxsLCJwdXIiOiJibG9iX2lkIn19--9389a66215937fdb1845df7396c4635a968a6baf/f|</t>
  </si>
  <si>
    <t>https://climate-laws.org/rails/active_storage/blobs/eyJfcmFpbHMiOnsibWVzc2FnZSI6IkJBaHBBdDhKIiwiZXhwIjpudWxsLCJwdXIiOiJibG9iX2lkIn19--9389a66215937fdb1845df7396c4635a968a6baf/f</t>
  </si>
  <si>
    <t>Integrated Energy Policy</t>
  </si>
  <si>
    <t>https://climate-laws.org/rails/active_storage/blobs/eyJfcmFpbHMiOnsibWVzc2FnZSI6IkJBaHBBdHNKIiwiZXhwIjpudWxsLCJwdXIiOiJibG9iX2lkIn19--e92d9d36838a0ca98b2a8246369fdd4da5891145/f|</t>
  </si>
  <si>
    <t>https://climate-laws.org/rails/active_storage/blobs/eyJfcmFpbHMiOnsibWVzc2FnZSI6IkJBaHBBdHNKIiwiZXhwIjpudWxsLCJwdXIiOiJibG9iX2lkIn19--e92d9d36838a0ca98b2a8246369fdd4da5891145/f</t>
  </si>
  <si>
    <t>Draft National Energy Policy</t>
  </si>
  <si>
    <t>https://climate-laws.org/rails/active_storage/blobs/eyJfcmFpbHMiOnsibWVzc2FnZSI6IkJBaHBBbzBLIiwiZXhwIjpudWxsLCJwdXIiOiJibG9iX2lkIn19--cedb279b9cbb57a58aba8864369adb59fca4375e/1322%20-%20new%20policy%20draft%202017.pdf|en</t>
  </si>
  <si>
    <t>https://climate-laws.org/rails/active_storage/blobs/eyJfcmFpbHMiOnsibWVzc2FnZSI6IkJBaHBBbzBLIiwiZXhwIjpudWxsLCJwdXIiOiJibG9iX2lkIn19--cedb279b9cbb57a58aba8864369adb59fca4375e/1322%20-%20new%20policy%20draft%202017.pdf</t>
  </si>
  <si>
    <t>TARIFF POLICY</t>
  </si>
  <si>
    <t>https://climate-laws.org/rails/active_storage/blobs/eyJfcmFpbHMiOnsibWVzc2FnZSI6IkJBaHBBdGdKIiwiZXhwIjpudWxsLCJwdXIiOiJibG9iX2lkIn19--d078e2447fda1f2363c715401acf1987858215ff/f|</t>
  </si>
  <si>
    <t>https://climate-laws.org/rails/active_storage/blobs/eyJfcmFpbHMiOnsibWVzc2FnZSI6IkJBaHBBdGdKIiwiZXhwIjpudWxsLCJwdXIiOiJibG9iX2lkIn19--d078e2447fda1f2363c715401acf1987858215ff/f</t>
  </si>
  <si>
    <t>Tariff Policy under the Electricity Act 2003</t>
  </si>
  <si>
    <t>https://climate-laws.org/rails/active_storage/blobs/eyJfcmFpbHMiOnsibWVzc2FnZSI6IkJBaHBBdGtKIiwiZXhwIjpudWxsLCJwdXIiOiJibG9iX2lkIn19--7fff36545d15b81c67bdf300bf78cdd08eab8409/f|en</t>
  </si>
  <si>
    <t>https://climate-laws.org/rails/active_storage/blobs/eyJfcmFpbHMiOnsibWVzc2FnZSI6IkJBaHBBdGtKIiwiZXhwIjpudWxsLCJwdXIiOiJibG9iX2lkIn19--7fff36545d15b81c67bdf300bf78cdd08eab8409/f</t>
  </si>
  <si>
    <t>Tariff Policy</t>
  </si>
  <si>
    <t>Hindi</t>
  </si>
  <si>
    <t>https://climate-laws.org/rails/active_storage/blobs/eyJfcmFpbHMiOnsibWVzc2FnZSI6IkJBaHBBbzRLIiwiZXhwIjpudWxsLCJwdXIiOiJibG9iX2lkIn19--35177521da31ba082e46d65948de14d8df781d59/1323%20-%202016%20amendments.pdf|en</t>
  </si>
  <si>
    <t>https://climate-laws.org/rails/active_storage/blobs/eyJfcmFpbHMiOnsibWVzc2FnZSI6IkJBaHBBbzRLIiwiZXhwIjpudWxsLCJwdXIiOiJibG9iX2lkIn19--35177521da31ba082e46d65948de14d8df781d59/1323%20-%202016%20amendments.pdf</t>
  </si>
  <si>
    <t>THE ELECTRICITY ACT, 2003</t>
  </si>
  <si>
    <t>https://climate-laws.org/rails/active_storage/blobs/eyJfcmFpbHMiOnsibWVzc2FnZSI6IkJBaHBBdFVKIiwiZXhwIjpudWxsLCJwdXIiOiJibG9iX2lkIn19--9e9ac4e9a5ab2c5a85644678802e455c8eb936d9/f|</t>
  </si>
  <si>
    <t>https://climate-laws.org/rails/active_storage/blobs/eyJfcmFpbHMiOnsibWVzc2FnZSI6IkJBaHBBdFVKIiwiZXhwIjpudWxsLCJwdXIiOiJibG9iX2lkIn19--9e9ac4e9a5ab2c5a85644678802e455c8eb936d9/f</t>
  </si>
  <si>
    <t>THE ELECTRICITY (AMENDMENT) ACT, 2007</t>
  </si>
  <si>
    <t>https://climate-laws.org/rails/active_storage/blobs/eyJfcmFpbHMiOnsibWVzc2FnZSI6IkJBaHBBdFlKIiwiZXhwIjpudWxsLCJwdXIiOiJibG9iX2lkIn19--524bb5a34852667997d5a70c12ff2700a62be49f/f|</t>
  </si>
  <si>
    <t>https://climate-laws.org/rails/active_storage/blobs/eyJfcmFpbHMiOnsibWVzc2FnZSI6IkJBaHBBdFlKIiwiZXhwIjpudWxsLCJwdXIiOiJibG9iX2lkIn19--524bb5a34852667997d5a70c12ff2700a62be49f/f</t>
  </si>
  <si>
    <t>THE GAZETTE OF INDIA : NOTIFICATION</t>
  </si>
  <si>
    <t>https://climate-laws.org/rails/active_storage/blobs/eyJfcmFpbHMiOnsibWVzc2FnZSI6IkJBaHBBdGNKIiwiZXhwIjpudWxsLCJwdXIiOiJibG9iX2lkIn19--c6ff74d5201c1a9f0ed708bbd9f2b6d468a26c1f/f|</t>
  </si>
  <si>
    <t>https://climate-laws.org/rails/active_storage/blobs/eyJfcmFpbHMiOnsibWVzc2FnZSI6IkJBaHBBdGNKIiwiZXhwIjpudWxsLCJwdXIiOiJibG9iX2lkIn19--c6ff74d5201c1a9f0ed708bbd9f2b6d468a26c1f/f</t>
  </si>
  <si>
    <t>THE ENERGY CONSERVATION (AMENDMENT) ACT, 2010</t>
  </si>
  <si>
    <t>https://climate-laws.org/rails/active_storage/blobs/eyJfcmFpbHMiOnsibWVzc2FnZSI6IkJBaHBBdE1KIiwiZXhwIjpudWxsLCJwdXIiOiJibG9iX2lkIn19--b1e76785e8da061c06b46a6fc1b332dba2702be7/f|en</t>
  </si>
  <si>
    <t>https://climate-laws.org/rails/active_storage/blobs/eyJfcmFpbHMiOnsibWVzc2FnZSI6IkJBaHBBdE1KIiwiZXhwIjpudWxsLCJwdXIiOiJibG9iX2lkIn19--b1e76785e8da061c06b46a6fc1b332dba2702be7/f</t>
  </si>
  <si>
    <t>THE ENERGY CONSERVATION (AMENDMENT) BILL, 2010</t>
  </si>
  <si>
    <t>https://climate-laws.org/rails/active_storage/blobs/eyJfcmFpbHMiOnsibWVzc2FnZSI6IkJBaHBBbzhLIiwiZXhwIjpudWxsLCJwdXIiOiJibG9iX2lkIn19--a1a91e6e2f875e81223890501ac39e1889ecb679/1327%20-%20amendment.pdf|en</t>
  </si>
  <si>
    <t>https://climate-laws.org/rails/active_storage/blobs/eyJfcmFpbHMiOnsibWVzc2FnZSI6IkJBaHBBbzhLIiwiZXhwIjpudWxsLCJwdXIiOiJibG9iX2lkIn19--a1a91e6e2f875e81223890501ac39e1889ecb679/1327%20-%20amendment.pdf</t>
  </si>
  <si>
    <t>https://www.indiabudget.gov.in/keytoBudDoc.php|</t>
  </si>
  <si>
    <t>https://www.indiabudget.gov.in/keytoBudDoc.php</t>
  </si>
  <si>
    <t>Key Highlights of Union Budget 2019-20</t>
  </si>
  <si>
    <t>https://climate-laws.org/rails/active_storage/blobs/eyJfcmFpbHMiOnsibWVzc2FnZSI6IkJBaHBBdW9FIiwiZXhwIjpudWxsLCJwdXIiOiJibG9iX2lkIn19--38082b398e58350c7dbb5beaa1e7b1e2f350b1d4/f|</t>
  </si>
  <si>
    <t>https://climate-laws.org/rails/active_storage/blobs/eyJfcmFpbHMiOnsibWVzc2FnZSI6IkJBaHBBdW9FIiwiZXhwIjpudWxsLCJwdXIiOiJibG9iX2lkIn19--38082b398e58350c7dbb5beaa1e7b1e2f350b1d4/f</t>
  </si>
  <si>
    <t>http://egazette.nic.in/WriteReadData/2018/188570.pdf|en</t>
  </si>
  <si>
    <t>http://egazette.nic.in/WriteReadData/2018/188570.pdf</t>
  </si>
  <si>
    <t>THE COMPENSATORY AFFORESTATION FUND ACT, 2016</t>
  </si>
  <si>
    <t>https://climate-laws.org/rails/active_storage/blobs/eyJfcmFpbHMiOnsibWVzc2FnZSI6IkJBaHBBazRNIiwiZXhwIjpudWxsLCJwdXIiOiJibG9iX2lkIn19--a3504680cfd61f04cb52e49814ab877227764e89/The%20Compensatory%20Afforestation%20Fund%20Act,%202016.pdf|en</t>
  </si>
  <si>
    <t>https://climate-laws.org/rails/active_storage/blobs/eyJfcmFpbHMiOnsibWVzc2FnZSI6IkJBaHBBazRNIiwiZXhwIjpudWxsLCJwdXIiOiJibG9iX2lkIn19--a3504680cfd61f04cb52e49814ab877227764e89/The%20Compensatory%20Afforestation%20Fund%20Act,%202016.pdf</t>
  </si>
  <si>
    <t>Components of PM-KUSUM Scheme</t>
  </si>
  <si>
    <t>https://www.india.gov.in/spotlight/pm-kusum-pradhan-mantri-kisan-urja-suraksha-evam-utthaan-mahabhiyan-scheme|en</t>
  </si>
  <si>
    <t>https://www.india.gov.in/spotlight/pm-kusum-pradhan-mantri-kisan-urja-suraksha-evam-utthaan-mahabhiyan-scheme</t>
  </si>
  <si>
    <t>Guidelines for Implementation of Pradhan Mantri Kisan Urja Suraksha evem Utthan Mahabhiyan (PM KUSUM) Scheme</t>
  </si>
  <si>
    <t>https://mnre.gov.in/img/documents/uploads/8065c8f7b9614c5ab2e8a7e30dfc29d5.pdf#page=2|en</t>
  </si>
  <si>
    <t>https://mnre.gov.in/img/documents/uploads/8065c8f7b9614c5ab2e8a7e30dfc29d5.pdf#page=2</t>
  </si>
  <si>
    <t>RENCANA PEMBANGUNAN JANGKA MENENGAH NASIONAL 2015-2019</t>
  </si>
  <si>
    <t>https://climate-laws.org/rails/active_storage/blobs/eyJfcmFpbHMiOnsibWVzc2FnZSI6IkJBaHBBbE1JIiwiZXhwIjpudWxsLCJwdXIiOiJibG9iX2lkIn19--04ce3798b4845589f7021a9146b153d9784cd755/f|</t>
  </si>
  <si>
    <t>https://climate-laws.org/rails/active_storage/blobs/eyJfcmFpbHMiOnsibWVzc2FnZSI6IkJBaHBBbE1JIiwiZXhwIjpudWxsLCJwdXIiOiJibG9iX2lkIn19--04ce3798b4845589f7021a9146b153d9784cd755/f</t>
  </si>
  <si>
    <t>MEDIUM TERM DEVELOPMENT PLAN: RPJMN 2015-2019</t>
  </si>
  <si>
    <t>https://climate-laws.org/rails/active_storage/blobs/eyJfcmFpbHMiOnsibWVzc2FnZSI6IkJBaHBBbFFJIiwiZXhwIjpudWxsLCJwdXIiOiJibG9iX2lkIn19--7a0cff2fccf03e771c85d1b84aee1305c366c336/f|</t>
  </si>
  <si>
    <t>https://climate-laws.org/rails/active_storage/blobs/eyJfcmFpbHMiOnsibWVzc2FnZSI6IkJBaHBBbFFJIiwiZXhwIjpudWxsLCJwdXIiOiJibG9iX2lkIn19--7a0cff2fccf03e771c85d1b84aee1305c366c336/f</t>
  </si>
  <si>
    <t>Regulation on 2020-2024 National Medium-Term Development Plan</t>
  </si>
  <si>
    <t>https://setkab.go.id/en/govt-issues-regulation-on-2020-2024-national-medium-term-development-plan/|</t>
  </si>
  <si>
    <t>https://setkab.go.id/en/govt-issues-regulation-on-2020-2024-national-medium-term-development-plan/</t>
  </si>
  <si>
    <t>Bonus-Malus: vehicle CO2 bonus and penalty system</t>
  </si>
  <si>
    <t>25/12/2007|Law passed</t>
  </si>
  <si>
    <t>Full text|https://climate-laws.org/rails/active_storage/blobs/eyJfcmFpbHMiOnsibWVzc2FnZSI6IkJBaHBBaWtLIiwiZXhwIjpudWxsLCJwdXIiOiJibG9iX2lkIn19--7a298e49a382951224fc876c674cfed5e9009730/f|;Full text - part 2|https://climate-laws.org/rails/active_storage/blobs/eyJfcmFpbHMiOnsibWVzc2FnZSI6IkJBaHBBaW9LIiwiZXhwIjpudWxsLCJwdXIiOiJibG9iX2lkIn19--7606f7c8f479769c9ad3c98a8ae3aaa1c80a118e/f|</t>
  </si>
  <si>
    <t>Finance Law 2022, 2021, 2020, 2019, 2018 and Second Rectifying Finance Law for 2017</t>
  </si>
  <si>
    <t>Tax incentives|Economic;Provision of climate funds|Direct Investment</t>
  </si>
  <si>
    <t>Carbon Pricing;Energy Supply;Energy Demand;Transport;Hydrogen</t>
  </si>
  <si>
    <t>Economy-wide;Public Sector</t>
  </si>
  <si>
    <t>30/12/2017|Law passed||;03/12/2019|Amended||;30/12/2021|Amended||</t>
  </si>
  <si>
    <t>Link to 2020 budget (Legifrance)|https://www.legifrance.gouv.fr/affichTexte.do?cidTexte=JORFTEXT000039440006&amp;categorieLien=id|fr;Link to 2022 budget (Legifrance)|https://www.legifrance.gouv.fr/jorf/id/JORFTEXT000044637640|fr;Link to General Taxation Code|https://www.legifrance.gouv.fr/codes/id/LEGIARTI000043012244/2022-01-01/|fr</t>
  </si>
  <si>
    <t>Hydrogen deployment plan for the energy transition</t>
  </si>
  <si>
    <t>Energy Supply;Energy Demand;Transportation</t>
  </si>
  <si>
    <t>01/06/2018|Law passed</t>
  </si>
  <si>
    <t>Full text|https://climate-laws.org/rails/active_storage/blobs/eyJfcmFpbHMiOnsibWVzc2FnZSI6IkJBaHBBam9HIiwiZXhwIjpudWxsLCJwdXIiOiJibG9iX2lkIn19--90f59083e8b145498ee1099b7a9d2150db3959b7/f|;Full text - online version|https://www.ecologique-solidaire.gouv.fr/plan-hydrogene-outil-davenir-transition-energetique|</t>
  </si>
  <si>
    <t>National Climate Change Adaptation Plan 2018-2022</t>
  </si>
  <si>
    <t>Floods;Droughts;Cyclones;Wildfires;Heat Waves And Heat Stress;Sea Level Rise;Cold Waves</t>
  </si>
  <si>
    <t>LULUCF;Transportation</t>
  </si>
  <si>
    <t>25/12/2018|Law passed||</t>
  </si>
  <si>
    <t>PNACC-2|https://climate-laws.org/rails/active_storage/blobs/eyJfcmFpbHMiOnsibWVzc2FnZSI6IkJBaHBBcVFFIiwiZXhwIjpudWxsLCJwdXIiOiJibG9iX2lkIn19--1526a5c365a4c4a6aec3bdce4df8776b1a3301c4/f|;Understanding PNACC2|https://climate-laws.org/rails/active_storage/blobs/eyJfcmFpbHMiOnsibWVzc2FnZSI6IkJBaHBBcVVFIiwiZXhwIjpudWxsLCJwdXIiOiJibG9iX2lkIn19--749231cd3161e6e94e9f66409f06108c5c03a3b1/f|</t>
  </si>
  <si>
    <t>National Low-Carbon Strategy (SNBC)</t>
  </si>
  <si>
    <t>Processes, plans and strategies|Governance;Subnational and citizen participation|Governance</t>
  </si>
  <si>
    <t>Action Plan;Strategy</t>
  </si>
  <si>
    <t>21/12/2015|Approved||;25/02/2020|Amended|Revised version issued after public consultation|;21/04/2020|New version adopted||</t>
  </si>
  <si>
    <t>Link to official page|https://www.ecologique-solidaire.gouv.fr/strategie-nationale-bas-carbone-snbc|fr;2020 full version (PDF)|https://climate-laws.org/rails/active_storage/blobs/eyJfcmFpbHMiOnsibWVzc2FnZSI6IkJBaHBBandNIiwiZXhwIjpudWxsLCJwdXIiOiJibG9iX2lkIn19--53806fa254eae1af4fc466b2a9a4e38b1d3cc88d/2020-03-25_MTES_SNBC2.pdf|fr</t>
  </si>
  <si>
    <t>Support plan for the automobile industry</t>
  </si>
  <si>
    <t>Subsidies|Economic;Research &amp; Development, knowledge generation|Information</t>
  </si>
  <si>
    <t>Transport;Ev</t>
  </si>
  <si>
    <t>Industry;Transportation</t>
  </si>
  <si>
    <t>26/05/2020|Plan released||</t>
  </si>
  <si>
    <t>Press release (with plan's details)|https://www.ecologique-solidaire.gouv.fr/sites/default/files/20200526_DP_Automobile.pdf|fr;Link to official website |https://www.economie.gouv.fr/covid19-soutien-entreprises/mesures-plan-soutien-automobile|fr</t>
  </si>
  <si>
    <t>Decree No. 2020-456 relating to multi-year energy programming</t>
  </si>
  <si>
    <t>Subsidies|Economic;Other|Direct Investment;Capacity building|Governance;Research &amp; Development, knowledge generation|Information</t>
  </si>
  <si>
    <t>Decree;Strategy</t>
  </si>
  <si>
    <t>Agriculture;Buildings;Energy;Industry;LULUCF;Transportation</t>
  </si>
  <si>
    <t>21/04/2020|Decree passed||</t>
  </si>
  <si>
    <t>Link to official page|https://www.ecologique-solidaire.gouv.fr/programmations-pluriannuelles-lenergie-ppe|fr;Full text of the strategy for energy and climate (PDF)|https://climate-laws.org/rails/active_storage/blobs/eyJfcmFpbHMiOnsibWVzc2FnZSI6IkJBaHBBajBNIiwiZXhwIjpudWxsLCJwdXIiOiJibG9iX2lkIn19--eb9f7ed774c4bae9597805aeb7f32f75fb07dde4/20200422%20Programmation%20pluriannuelle%20de%20l'%C3%A9nergie.pdf|fr;Decree (PDF)|https://climate-laws.org/rails/active_storage/blobs/eyJfcmFpbHMiOnsibWVzc2FnZSI6IkJBaHBBajRNIiwiZXhwIjpudWxsLCJwdXIiOiJibG9iX2lkIn19--5037723746fe87935043fb3f3db758d84d155fd6/TRER2006667D%20sign%C3%A9%20PM.pdf|fr</t>
  </si>
  <si>
    <t>France Relaunch Plan ("France Relance")</t>
  </si>
  <si>
    <t>Subsidies|Economic;Provision of climate funds|Direct Investment;Capacity building|Governance;Processes, plans and strategies|Governance;Research &amp; Development, knowledge generation|Information</t>
  </si>
  <si>
    <t>Industry;Buildings;Biodiversity;Hydrogen;Covid19;Stimulus Plan;Energy Efficiency</t>
  </si>
  <si>
    <t>Agriculture;Buildings;Coastal zones;Economy-wide;Industry;Public Sector;Transportation</t>
  </si>
  <si>
    <t>03/09/2020|Plan released||</t>
  </si>
  <si>
    <t>Link to official website|https://www.gouvernement.fr/france-relance|fr;Detailed list of measures (PDF)|https://climate-laws.org/rails/active_storage/blobs/eyJfcmFpbHMiOnsibWVzc2FnZSI6IkJBaHBBdDRNIiwiZXhwIjpudWxsLCJwdXIiOiJibG9iX2lkIn19--82245b45cce03535df35a9d2ee8678cbeb84162a/mesures_france_relance.pdf|fr</t>
  </si>
  <si>
    <t>Law n ° 85-30 relating to the development and protection of the mountain and Law n ° 2016-1888 on the modernisation, development and protection of mountain territories</t>
  </si>
  <si>
    <t>Mountain</t>
  </si>
  <si>
    <t>Environment;Rural;Social development;Tourism</t>
  </si>
  <si>
    <t>28/12/2016|Law passed||;02/11/2020|Law amended|Law was passed in 1985, but the climate-related clauses were added in 2020|</t>
  </si>
  <si>
    <t>Link to official webpage for Law no 85-30|https://www.legifrance.gouv.fr/loda/id/JORFTEXT000000317293/2020-11-02/|fr;Link to official webpage for Law no 2016-1888|https://www.legifrance.gouv.fr/loda/id/LEGIARTI000033725056/2016-12-30/|fr</t>
  </si>
  <si>
    <t>National strategy of ecological transition towards sustainable development 2015-2020</t>
  </si>
  <si>
    <t>Processes, plans and strategies|Governance;Subnational and citizen participation|Governance;International cooperation|Governance;Education, training and knowledge dissemination|Information;Research &amp; Development, knowledge generation|Information</t>
  </si>
  <si>
    <t>Economy-wide;Social development</t>
  </si>
  <si>
    <t>25/12/2015|Approved||</t>
  </si>
  <si>
    <t>Link to dedicated page on official website|https://www.ecologie.gouv.fr/strategie-nationale-transition-ecologique-vers-developpement-durable-2015-2020|fr;full text (PDF)|https://climate-laws.org/rails/active_storage/blobs/eyJfcmFpbHMiOnsibWVzc2FnZSI6IkJBaHBBbkVPIiwiZXhwIjpudWxsLCJwdXIiOiJibG9iX2lkIn19--adb09778391a847731778684b36250eb13a0662d/SNTEDD%20-%20La%20strat%C3%A9gie.pdf|fr</t>
  </si>
  <si>
    <t>Order validating the “ADVENIR” program within the framework of the energy saving certificates system</t>
  </si>
  <si>
    <t>Subsidies|Economic;Provision of climate funds|Direct Investment</t>
  </si>
  <si>
    <t>Programme;Decree/Order/Ordinance</t>
  </si>
  <si>
    <t>Transport;Energy;Ev;Electromobility</t>
  </si>
  <si>
    <t>Energy;Transport</t>
  </si>
  <si>
    <t>16/03/2016|Approved||;31/10/2021|Amended||</t>
  </si>
  <si>
    <t>Link to 2016 order on official website|https://www.legifrance.gouv.fr/jorf/id/JORFSCTA000032303780|fr;Link to 10.12.2021 order on official website|https://www.legifrance.gouv.fr/jorf/id/JORFTEXT000044546141|fr;Link to the Advenir Programme website|https://advenir.mobi|fr</t>
  </si>
  <si>
    <t>Bicycle bonus ("bonus vélo")</t>
  </si>
  <si>
    <t>Cycling;modal shift;electromobility</t>
  </si>
  <si>
    <t>Transport</t>
  </si>
  <si>
    <t>29/12/2017|Passed||;30/05/2020|Amended||;23/07/2021|Amended||</t>
  </si>
  <si>
    <t>Link to dedicated page on official website|https://www.service-public.fr/particuliers/vosdroits/F35475|fr;Art D-251 of Energy code (first part)|https://www.legifrance.gouv.fr/codes/section_lc/LEGITEXT000023983208/LEGISCTA000031748203|fr;Art D-251 of Energy code (second part)|https://www.legifrance.gouv.fr/codes/id/LEGISCTA000031748217/|fr;Decree 2021-977|https://www.legifrance.gouv.fr/loda/id/JORFTEXT000043852172|fr;Decree 2020-955|https://www.legifrance.gouv.fr/affichTexte.do?cidTexte=JORFTEXT000042184845|fr;Decree 2020-656|https://www.legifrance.gouv.fr/affichTexte.do?cidTexte=JORFTEXT000041938774|fr;2017 order|https://www.legifrance.gouv.fr/affichTexte.do?cidTexte=JORFTEXT000036340821|fr</t>
  </si>
  <si>
    <t>Subsidies|Economic;Capacity building|Governance;Processes, plans and strategies|Governance</t>
  </si>
  <si>
    <t>Hydrogen;covid19;Rail;Energy Efficiency</t>
  </si>
  <si>
    <t>Buildings;Economy-wide;Energy;Industry;Residential and Commercial;Transport</t>
  </si>
  <si>
    <t>Link to EC page|https://ec.europa.eu/info/business-economy-euro/recovery-coronavirus/recovery-and-resilience-facility/frances-recovery-and-resilience-plan_en|en;Council implementing decision and annex|https://www.consilium.europa.eu/en/documents-publications/public-register/public-register-search/results/?WordsInSubject=&amp;WordsInText=&amp;DocumentNumber=10162%2F21&amp;InterinstitutionalFiles=&amp;DocumentDateFrom=&amp;DocumentDateTo=&amp;MeetingDateFrom=&amp;MeetingDateTo=&amp;DocumentLanguage=EN&amp;OrderBy=DOCUMENT_DATE+DESC&amp;ctl00%24ctl00%24cpMain%24cpMain%24btnSubmit=|en;Full text (PDF)|https://www.economie.gouv.fr/files/files/directions_services/plan-de-relance/PNRR%20Francais.pdf|fr;Factsheet|https://ec.europa.eu/info/sites/default/files/france-recovery-resilience-factsheet_en.pdf|en</t>
  </si>
  <si>
    <t>Decree 54/2020 establishing the Climate Change Council</t>
  </si>
  <si>
    <t>Public Sector</t>
  </si>
  <si>
    <t>13/01/2021|Approved||</t>
  </si>
  <si>
    <t>Link to official page|https://www.matsne.gov.ge/ka/document/view/4780380?publication=0|ka;Link to amendment on official page|https://www.matsne.gov.ge/ka/document/view/5167071?publication=0|ka</t>
  </si>
  <si>
    <t>Georgia’s 2030 Climate Strategy and Action Plan</t>
  </si>
  <si>
    <t>01/06/2021|Adopted||</t>
  </si>
  <si>
    <t>Link to full text on external website (PDF)|http://www.eiec.gov.ge/getattachment/30bb3f45-7d2e-442d-8b47-26bd650e72db/CSAP-01-12-2020.pdf.aspx|ka;Unofficial translation (Word)|https://climate-laws.org/rails/active_storage/blobs/eyJfcmFpbHMiOnsibWVzc2FnZSI6IkJBaHBBcTBPIiwiZXhwIjpudWxsLCJwdXIiOiJibG9iX2lkIn19--7760465d29a8f14cbe7d083eb4ec73668167b477/2021-2023%20Climate%20Action%20Plan_ENG.docx|en</t>
  </si>
  <si>
    <t>Law 5652 on promoting the Generation and Consumption of Energy from Renewable Sources and amending law 7023</t>
  </si>
  <si>
    <t>Subsidies|Economic;Capacity building|Governance;MRV|Governance;International cooperation|Governance</t>
  </si>
  <si>
    <t>Renewables;Biofuels</t>
  </si>
  <si>
    <t>20/12/2019|Approved||;15/07/2020|Amended||</t>
  </si>
  <si>
    <t>Link to full text on official website|https://matsne.gov.ge/en/document/view/4737753?publication=1|en;Link to amending law|https://matsne.gov.ge/ka/document/view/4912479?publication=0|ka</t>
  </si>
  <si>
    <t>Law on the protection of windbreaks in agricultural fields</t>
  </si>
  <si>
    <t>Nature based solutions and ecosystem restoration|Direct Investment</t>
  </si>
  <si>
    <t>Agriculture;LULUCF</t>
  </si>
  <si>
    <t>02/11/2021|Approved||</t>
  </si>
  <si>
    <t>Link to full text on external website (PDF)|http://faolex.fao.org/docs/pdf/geo206590.pdf|ka;Link to text of state program of inventory of windbreak (field protection) strips|https://matsne.gov.ge/ka/document/view/5192433?publication=0|ka;On the approval of the windbreak inventory plan|https://matsne.gov.ge/ka/document/view/5367256?publication=0|ka</t>
  </si>
  <si>
    <t>German Strategy for Adaptation to Climate Change (DAS)</t>
  </si>
  <si>
    <t>Zoning &amp; Spatial Planning|Regulation;Processes, plans and strategies|Governance;Research &amp; Development, knowledge generation|Information</t>
  </si>
  <si>
    <t>Flooding;Droughts;Cyclones;Tsunamis;Hail/Frost;Storms;Hurricanes;Landslides;Wildfires;Changes In Soil Quality;Sea Level Rise;Changes In Groundwater;Changes In Average Precipitation;Changes In Surface Water;Loss Of Snow Cover</t>
  </si>
  <si>
    <t>17/12/2008|Law passed||;25/12/2011|Last amendment||</t>
  </si>
  <si>
    <t>Full text|https://climate-laws.org/rails/active_storage/blobs/eyJfcmFpbHMiOnsibWVzc2FnZSI6IkJBaHBBbWtKIiwiZXhwIjpudWxsLCJwdXIiOiJibG9iX2lkIn19--ad384273fe09cba35351c1510bd4bee3bebc1fc1/f|;Summary|https://climate-laws.org/rails/active_storage/blobs/eyJfcmFpbHMiOnsibWVzc2FnZSI6IkJBaHBBbW9KIiwiZXhwIjpudWxsLCJwdXIiOiJibG9iX2lkIn19--52ad93022def6fcc5048c30ea6903e3b7f28bdc6/f|</t>
  </si>
  <si>
    <t>Energy Industry Act (EnWG)</t>
  </si>
  <si>
    <t>Capacity building|Governance;Education, training and knowledge dissemination|Information</t>
  </si>
  <si>
    <t>Institutions / Administrative Arrangements;Energy Supply;Energy Demand;Hydrogen</t>
  </si>
  <si>
    <t>13/07/2005|Law passed||;25/12/2011|Law amended||;18/05/2021|Amended||</t>
  </si>
  <si>
    <t>Full text|https://climate-laws.org/rails/active_storage/blobs/eyJfcmFpbHMiOnsibWVzc2FnZSI6IkJBaHBBaFVLIiwiZXhwIjpudWxsLCJwdXIiOiJibG9iX2lkIn19--7a0038dca5def7e94b1cf914b41ea579ef6641fb/f|de;Link to updated version on official website|http://www.gesetze-im-internet.de/enwg_2005/BJNR197010005.html|de</t>
  </si>
  <si>
    <t>Renewable Energy Sources Act (EEG, latest version EEG 2021)</t>
  </si>
  <si>
    <t>Subsidies|Economic;Tax incentives|Economic;Capacity building|Governance;Processes, plans and strategies|Governance</t>
  </si>
  <si>
    <t>Energy Supply;Renewables</t>
  </si>
  <si>
    <t>25/02/2000|Law passed||;08/07/2016|Amendmed||;21/12/2020|Amended||</t>
  </si>
  <si>
    <t>Full text|https://climate-laws.org/rails/active_storage/blobs/eyJfcmFpbHMiOnsibWVzc2FnZSI6IkJBaHBBdTBIIiwiZXhwIjpudWxsLCJwdXIiOiJibG9iX2lkIn19--37411ac97fc767b295753e19589af3aa27d34088/f|de;2021 version (pdf)|https://www.gesetze-im-internet.de/eeg_2014/EEG_2021.pdf|de</t>
  </si>
  <si>
    <t>01/01/2017|Law passed||;03/06/2020|Amended||</t>
  </si>
  <si>
    <t>Full 2017 text (PDF)|https://climate-laws.org/rails/active_storage/blobs/eyJfcmFpbHMiOnsibWVzc2FnZSI6IkJBaHBBb2dGIiwiZXhwIjpudWxsLCJwdXIiOiJibG9iX2lkIn19--3d642c2bab212b54b2038274c52c405fcc6404da/f|de;Full 2017 translated text (pdf)|https://climate-laws.org/rails/active_storage/blobs/eyJfcmFpbHMiOnsibWVzc2FnZSI6IkJBaHBBb2tGIiwiZXhwIjpudWxsLCJwdXIiOiJibG9iX2lkIn19--71195783e4189cfdd234981b13564f1dde7db528/f|en;2020 version (PDF)|http://www.gesetze-im-internet.de/windseeg/WindSeeG.pdf|de;Link to official webpage|http://www.gesetze-im-internet.de/windseeg/|de</t>
  </si>
  <si>
    <t>Federal Climate Protection Act and to change further regulations ("Bundesklimaschutzgesetz” or “KSG")</t>
  </si>
  <si>
    <t>20/12/2019|Law passed||;24/06/2021|Amended||</t>
  </si>
  <si>
    <t>Link to official website|https://www.bgbl.de/xaver/bgbl/start.xav?startbk=Bundesanzeiger_BGBl&amp;start=//*[@attr_id=%27bgbl119s0010.pdf%27]#__bgbl__%2F%2F*%5B%40attr_id%3D%27bgbl119s2513.pdf%27%5D__1585596608255|de;Link to climate program 2030|https://www.bmu.de/download/klimaschutzprogramm-2030-zur-umsetzung-des-klimaschutzplans-2050/|de;Link to unofficial translation|http://www.gesetze-im-internet.de/englisch_ksg/englisch_ksg.pdf|en;2021 amendment|https://www.bmu.de/fileadmin/Daten_BMU/Download_PDF/Klimaschutz/ksg_aendg_2021_bf.pdf|de;Official information on 2045 amendment|https://www.bundesregierung.de/breg-de/themen/klimaschutz/climate-change-act-2021-1913970|en</t>
  </si>
  <si>
    <t>Germany's Integrated National Energy and Climate Plan</t>
  </si>
  <si>
    <t>Standards, obligations and norms|Regulation;Subsidies|Economic;Tax incentives|Economic;Capacity building|Governance;Processes, plans and strategies|Governance;Subnational and citizen participation|Governance;International cooperation|Governance</t>
  </si>
  <si>
    <t>Changes In Air Quality</t>
  </si>
  <si>
    <t>Research And Development;Carbon Pricing;Energy Supply;Waste;Renewables;Subsidies;Health;Electricity</t>
  </si>
  <si>
    <t>Agriculture;Buildings;Economy-wide;Energy;Health;Transportation;Urban;Waste</t>
  </si>
  <si>
    <t>25/12/2019|Approved||</t>
  </si>
  <si>
    <t>Full text (PDF)|https://ec.europa.eu/energy/sites/ener/files/documents/de_final_necp_main_en.pdf|en;Original version (PDF)|https://ec.europa.eu/energy/sites/ener/files/de_final_necp_main_de.pdf|de</t>
  </si>
  <si>
    <t>Fuel Emissions Trading Act (BEHG)</t>
  </si>
  <si>
    <t>Trading Scheme</t>
  </si>
  <si>
    <t>Cross Cutting Area;Residential and Commercial;Transportation</t>
  </si>
  <si>
    <t>19/12/2019|Approved||;08/10/2020|Amended||</t>
  </si>
  <si>
    <t>Full text on official webpage|http://www.gesetze-im-internet.de/behg/|de;2020 parliamentary amendments (PDF) 1|https://dip21.bundestag.de/dip21/btd/19/199/1919929.pdf|de;2020 parliamentary amendments (PDF) 2|https://dip21.bundestag.de/dip21/btd/19/223/1922346.pdf|de</t>
  </si>
  <si>
    <t>Germany’s recovery and resilience plan (DARP)</t>
  </si>
  <si>
    <t>EV;Hydrogen;covid19;Energy Efficiency</t>
  </si>
  <si>
    <t>EC page|https://ec.europa.eu/info/business-economy-euro/recovery-coronavirus/recovery-and-resilience-facility/germanys-recovery-and-resilience-plan_en|en;Council implementing decision and annex|https://www.consilium.europa.eu/en/documents-publications/public-register/public-register-search/results/?WordsInSubject=&amp;WordsInText=&amp;DocumentNumber=10158%2F21&amp;InterinstitutionalFiles=&amp;DocumentDateFrom=&amp;DocumentDateTo=&amp;MeetingDateFrom=&amp;MeetingDateTo=&amp;DocumentLanguage=EN&amp;OrderBy=DOCUMENT_DATE+DESC&amp;ctl00%24ctl00%24cpMain%24cpMain%24btnSubmit=|en;Factsheet|https://ec.europa.eu/info/files/factsheet-germanys-recovery-and-resilience-plan_en|en;National website|https://www.bundesfinanzministerium.de/Content/DE/Standardartikel/Themen/Europa/DARP/deutscher-aufbau-und-resilienzplan.html|de</t>
  </si>
  <si>
    <t>Ghana Shared Growth And Development Agenda; Agenda II, 2014-2017</t>
  </si>
  <si>
    <t>Adaptation;Institutions / Administrative Arrangements;Energy Supply;Redd+ And Lulucf</t>
  </si>
  <si>
    <t>Agriculture;Transportation</t>
  </si>
  <si>
    <t>07/09/2010|Law passed||</t>
  </si>
  <si>
    <t>Full text|https://climate-laws.org/rails/active_storage/blobs/eyJfcmFpbHMiOnsibWVzc2FnZSI6IkJBaHBBZzRLIiwiZXhwIjpudWxsLCJwdXIiOiJibG9iX2lkIn19--3bd8745888f790fd15b942c00aac2aadd9057765/f|;Full text|https://climate-laws.org/rails/active_storage/blobs/eyJfcmFpbHMiOnsibWVzc2FnZSI6IkJBaHBBZzhLIiwiZXhwIjpudWxsLCJwdXIiOiJibG9iX2lkIn19--b7ff52211c52565e28151393608480899da12111/f|</t>
  </si>
  <si>
    <t>New Aid Scheme for Power Plants Using RES and Co-generation of Electricity and High-Efficiency Heat</t>
  </si>
  <si>
    <t>Standards, obligations and norms|Regulation;Tax incentives|Economic;Processes, plans and strategies|Governance</t>
  </si>
  <si>
    <t>08/09/2016|Law passed</t>
  </si>
  <si>
    <t>Full text|https://www.kodiko.gr/nomologia/document_navigation/237723/nomos-4414-2016|;Full text (PDF)|https://climate-laws.org/rails/active_storage/blobs/eyJfcmFpbHMiOnsibWVzc2FnZSI6IkJBaHBBdlFGIiwiZXhwIjpudWxsLCJwdXIiOiJibG9iX2lkIn19--cb9d409f9a2d2921b3e06532dd47d60ab0e7c36a/f|</t>
  </si>
  <si>
    <t>National Strategy for Adaptation to Climate Change</t>
  </si>
  <si>
    <t>Standards, obligations and norms|Regulation;Processes, plans and strategies|Governance;MRV|Governance;Research &amp; Development, knowledge generation|Information</t>
  </si>
  <si>
    <t>Drought;Floods;Wildfires;Sea Level Rise</t>
  </si>
  <si>
    <t>01/04/2016|Law passed</t>
  </si>
  <si>
    <t>Full text|https://climate-laws.org/rails/active_storage/blobs/eyJfcmFpbHMiOnsibWVzc2FnZSI6IkJBaHBBdU1GIiwiZXhwIjpudWxsLCJwdXIiOiJibG9iX2lkIn19--460a41f27cd5e4964b3a465dc2b4c84e71cddffa/f|;Full text 2|https://climate-laws.org/rails/active_storage/blobs/eyJfcmFpbHMiOnsibWVzc2FnZSI6IkJBaHBBdVFGIiwiZXhwIjpudWxsLCJwdXIiOiJibG9iX2lkIn19--c6535ca9b15ef270902f553e9bf87b8b9bd7f410/f|</t>
  </si>
  <si>
    <t>Law 4685/2020 on the reform of the environmental legislation and the renewable energy sources licensing process</t>
  </si>
  <si>
    <t>05/05/2020|Law published||</t>
  </si>
  <si>
    <t>Link to full text on official website|https://www.e-nomothesia.gr/kat-periballon/nomos-4685-2020-phek-92a-7-5-2020.html|el;Link to parliament website with related documents|https://www.hellenicparliament.gr/Nomothetiko-Ergo/Anazitisi-Nomothetikou-Ergou?law_id=2d2016aa-ebb1-43cf-a88b-aba7018724bc|el</t>
  </si>
  <si>
    <t>Greece's National Energy and Climate Plan</t>
  </si>
  <si>
    <t>Flood;Drought;Desertification;Forest Wildfires</t>
  </si>
  <si>
    <t>Energy Supply;Buildings;Transport;Biofuels;Health;Biogas;Electricity</t>
  </si>
  <si>
    <t>Agriculture;Buildings;Economy-wide;Energy;Health;Transportation;Urban;Waste;Water</t>
  </si>
  <si>
    <t>Full text (PDF)|https://ec.europa.eu/energy/sites/ener/files/el_final_necp_main_en.pdf|en;Original version (PDF)|https://ec.europa.eu/energy/sites/ener/files/documents/el_final_necp_main_el.pdf|el</t>
  </si>
  <si>
    <t>EV;covid19;Cycling;Walking;Energy Efficiency</t>
  </si>
  <si>
    <t>Buildings;Economy-wide;Energy;Transport;Urban</t>
  </si>
  <si>
    <t>EC page|https://ec.europa.eu/info/business-economy-euro/recovery-coronavirus/recovery-and-resilience-facility/greeces-recovery-and-resilience-plan_en|en;Council implementing decision and annex|https://www.consilium.europa.eu/en/documents-publications/public-register/public-register-search/results/?WordsInSubject=Council+Implementing+Decision+on+the+approval+of+the+assessment+of+the+recovery+and+resilience+plan+of+Greece&amp;WordsInText=&amp;DocumentNumber=&amp;InterinstitutionalFiles=&amp;DocumentDateFrom=&amp;DocumentDateTo=&amp;MeetingDateFrom=&amp;MeetingDateTo=&amp;DocumentLanguage=EN&amp;OrderBy=DOCUMENT_DATE+DESC&amp;ctl00%24ctl00%24cpMain%24cpMain%24btnSubmit=|en;Factsheet|https://ec.europa.eu/info/files/factsheet-greeces-recovery-and-resilience-plan_en|en;Full text |https://ec.europa.eu/info/files/greeces-recovery-and-resilience-plan_en|el;National website|https://greece20.gov.gr|el</t>
  </si>
  <si>
    <t>National economic and social development plan 2016-2020</t>
  </si>
  <si>
    <t>25/12/2016|Approved||</t>
  </si>
  <si>
    <t>Link to full text (PDF)|https://pndesguinee.org/images/documents/pndes/PNDES%20Volume%201.pdf|fr;Dedicated page on official website|https://pndesguinee.org|fr</t>
  </si>
  <si>
    <t>Decree no. 297-2013 (Law on Climate Change)</t>
  </si>
  <si>
    <t>Adaptation;Institutions / Administrative Arrangements;Research And Development;Carbon Pricing;Energy Supply;Energy Demand;Redd+ And Lulucf</t>
  </si>
  <si>
    <t>10/11/2014|Law passed||</t>
  </si>
  <si>
    <t>Full text|https://climate-laws.org/rails/active_storage/blobs/eyJfcmFpbHMiOnsibWVzc2FnZSI6IkJBaHBBb0VJIiwiZXhwIjpudWxsLCJwdXIiOiJibG9iX2lkIn19--95b9db402c29bb6b5a71a3cbf59ce59a5bf0dfe0/f|es;Link to full text on external website (PDF)|https://observatoriop10.cepal.org/sites/default/files/documents/hn_-_ley_del_cambio_climatico_y_otros_decretos.pdf|es</t>
  </si>
  <si>
    <t>National policy for forests, protected areas and wildlife 2013-2022</t>
  </si>
  <si>
    <t>Nature based solutions and ecosystem restoration|Direct Investment;Capacity building|Governance;Processes, plans and strategies|Governance;International cooperation|Governance</t>
  </si>
  <si>
    <t>Drought</t>
  </si>
  <si>
    <t>Biodiversity</t>
  </si>
  <si>
    <t>Environment;LULUCF</t>
  </si>
  <si>
    <t>19/09/2013|Approved||</t>
  </si>
  <si>
    <t>Link to full text (PDF)|https://sgpr.gob.hn/SGPR.Admin2019/Content/Uploads/repositorio/637342182811751490-22.%20Pol%C3%ADtica%20Forestal%20AP%20y%20Vida%20Silvestre.pdf|es;2010 version|http://extwprlegs1.fao.org/docs/pdf/hon121723.pdf|es</t>
  </si>
  <si>
    <t>National Climate Change Strategy (Resolution of the Parliament no 29/2008)</t>
  </si>
  <si>
    <t>Processes, plans and strategies|Governance;MRV|Governance;Education, training and knowledge dissemination|Information</t>
  </si>
  <si>
    <t>Adaptation;Energy Supply;Energy Demand;Redd+ And Lulucf</t>
  </si>
  <si>
    <t>20/03/2008|Law passed;25/12/2017|Last amendment</t>
  </si>
  <si>
    <t>Full text|https://climate-laws.org/rails/active_storage/blobs/eyJfcmFpbHMiOnsibWVzc2FnZSI6IkJBaHBBdTBKIiwiZXhwIjpudWxsLCJwdXIiOiJibG9iX2lkIn19--1a14fd6d21b5b77653924080e3d6035d789947df/f|;Full text - English|https://climate-laws.org/rails/active_storage/blobs/eyJfcmFpbHMiOnsibWVzc2FnZSI6IkJBaHBBdTRKIiwiZXhwIjpudWxsLCJwdXIiOiJibG9iX2lkIn19--39e20e483e1c1b65efbcf5a14250040757318af3/f|</t>
  </si>
  <si>
    <t>Hungary's National Energy and Climate Plan</t>
  </si>
  <si>
    <t>Energy Supply;Agriculture;Electricity</t>
  </si>
  <si>
    <t>Agriculture;Buildings;Energy;Health;Tourism;Transportation;Urban;Waste</t>
  </si>
  <si>
    <t>Full text (PDF)|https://ec.europa.eu/energy/sites/ener/files/documents/hu_final_necp_main_en.pdf|en;Original version (PDF)|https://ec.europa.eu/energy/sites/ener/files/documents/hu_final_necp_main_hu.pdf|hu</t>
  </si>
  <si>
    <t>National Hydrogen Strategy</t>
  </si>
  <si>
    <t>Energy;Industry;Transport</t>
  </si>
  <si>
    <t>20/05/2020|Approved||</t>
  </si>
  <si>
    <t>Link to full translated text (PDF)|https://cdn.kormany.hu/uploads/document/a/a2/a2b/a2b2b7ed5179b17694659b8f050ba9648e75a0bf.pdf|en;Full text (PDF)|https://cdn.kormany.hu/uploads/document/6/61/61a/61aa5f835ccf3e726fb5795f766f3768f7f829c1.pdf|hu</t>
  </si>
  <si>
    <t>Recovery and resilience plan for Hungary</t>
  </si>
  <si>
    <t>01/04/2021|Released||</t>
  </si>
  <si>
    <t>EC page|https://ec.europa.eu/info/business-economy-euro/recovery-coronavirus/recovery-and-resilience-facility/recovery-and-resilience-plan-hungary_en|en;Full text|https://climate-laws.org/rails/active_storage/blobs/eyJfcmFpbHMiOnsibWVzc2FnZSI6IkJBaHBBdm9PIiwiZXhwIjpudWxsLCJwdXIiOiJibG9iX2lkIn19--dee1c0e03b6262bd9b607fd1507789ae2d1342be/Final_RRP_Hungary%20_20210702-1.pdf|hu</t>
  </si>
  <si>
    <t>Regulation no. 70/2013; amended by no. 823/2013 (Regulation of Emissions Permits for Operators working in the EU Emission Trading System)</t>
  </si>
  <si>
    <t>04/01/2013|Law passed</t>
  </si>
  <si>
    <t>Full text|https://climate-laws.org/rails/active_storage/blobs/eyJfcmFpbHMiOnsibWVzc2FnZSI6IkJBaHBBc0lKIiwiZXhwIjpudWxsLCJwdXIiOiJibG9iX2lkIn19--a4cff39f34ebadb43b92374a633975948dda294f/f|;Amendment|https://climate-laws.org/rails/active_storage/blobs/eyJfcmFpbHMiOnsibWVzc2FnZSI6IkJBaHBBc01KIiwiZXhwIjpudWxsLCJwdXIiOiJibG9iX2lkIn19--79f495aedace55ddc4969920c5011dfffbaf391a/f|</t>
  </si>
  <si>
    <t>Iceland’s Climate Action Plan for 2018-2030 and 2020 update</t>
  </si>
  <si>
    <t>Adaptation;Carbon Pricing;Mitigation;Climate Change</t>
  </si>
  <si>
    <t>Economy-wide;Energy;Environment</t>
  </si>
  <si>
    <t>10/09/2018|Plan adopted||;01/10/2020|Amended||</t>
  </si>
  <si>
    <t>Link to the PDF|https://www.government.is/lisalib/getfile.aspx?itemid=5b3c6c45-f326-11e8-942f-005056bc4d74|en;Link to 2020 version|https://www.government.is/library/01-Ministries/Ministry-for-The-Environment/201004%20Umhverfisraduneytid%20Adgerdaaaetlun%20EN%20V2.pdf|en</t>
  </si>
  <si>
    <t>National Electricity Plan (Generation)</t>
  </si>
  <si>
    <t>01/01/2012|Law passed;01/12/2016|Law amended</t>
  </si>
  <si>
    <t>Full text|https://climate-laws.org/rails/active_storage/blobs/eyJfcmFpbHMiOnsibWVzc2FnZSI6IkJBaHBBbFVJIiwiZXhwIjpudWxsLCJwdXIiOiJibG9iX2lkIn19--0501529e4b4a9684e763d638f8b577445cf4fc58/f|;Full text|https://climate-laws.org/rails/active_storage/blobs/eyJfcmFpbHMiOnsibWVzc2FnZSI6IkJBaHBBbFlJIiwiZXhwIjpudWxsLCJwdXIiOiJibG9iX2lkIn19--2ea1ce34862cdd2ecc68b4f4361a94b020e127cf/f|</t>
  </si>
  <si>
    <t>The Finance Bill 2010-11 and the Clean Energy Cess Rules, 2010</t>
  </si>
  <si>
    <t>Provision of climate funds|Direct Investment;Processes, plans and strategies|Governance;MRV|Governance;Research &amp; Development, knowledge generation|Information</t>
  </si>
  <si>
    <t>Institutions / Administrative Arrangements;Research And Development;Carbon Pricing</t>
  </si>
  <si>
    <t>22/06/2010|Law passed</t>
  </si>
  <si>
    <t>Full text|https://climate-laws.org/rails/active_storage/blobs/eyJfcmFpbHMiOnsibWVzc2FnZSI6IkJBaHBBdDBKIiwiZXhwIjpudWxsLCJwdXIiOiJibG9iX2lkIn19--33ad1c7df713d5ab53c00e12fa8251ed61a816cc/f|;Full text - part 2|https://climate-laws.org/rails/active_storage/blobs/eyJfcmFpbHMiOnsibWVzc2FnZSI6IkJBaHBBdDRKIiwiZXhwIjpudWxsLCJwdXIiOiJibG9iX2lkIn19--a2788ca42382ea59ae324bfcd4a7581310baa9cd/f|;Full text - part 3|https://climate-laws.org/rails/active_storage/blobs/eyJfcmFpbHMiOnsibWVzc2FnZSI6IkJBaHBBdDhKIiwiZXhwIjpudWxsLCJwdXIiOiJibG9iX2lkIn19--9389a66215937fdb1845df7396c4635a968a6baf/f|</t>
  </si>
  <si>
    <t>25/12/2006|Law passed||</t>
  </si>
  <si>
    <t>Full text|https://climate-laws.org/rails/active_storage/blobs/eyJfcmFpbHMiOnsibWVzc2FnZSI6IkJBaHBBdHNKIiwiZXhwIjpudWxsLCJwdXIiOiJibG9iX2lkIn19--e92d9d36838a0ca98b2a8246369fdd4da5891145/f|;2017 policy draft|https://climate-laws.org/rails/active_storage/blobs/eyJfcmFpbHMiOnsibWVzc2FnZSI6IkJBaHBBbzBLIiwiZXhwIjpudWxsLCJwdXIiOiJibG9iX2lkIn19--cedb279b9cbb57a58aba8864369adb59fca4375e/1322%20-%20new%20policy%20draft%202017.pdf|en</t>
  </si>
  <si>
    <t>Tariff Policy 2006</t>
  </si>
  <si>
    <t>25/12/2006|Law passed;25/12/2016|Last amendment</t>
  </si>
  <si>
    <t>Full text - part 2|https://climate-laws.org/rails/active_storage/blobs/eyJfcmFpbHMiOnsibWVzc2FnZSI6IkJBaHBBdGdKIiwiZXhwIjpudWxsLCJwdXIiOiJibG9iX2lkIn19--d078e2447fda1f2363c715401acf1987858215ff/f|;full text - part 1|https://climate-laws.org/rails/active_storage/blobs/eyJfcmFpbHMiOnsibWVzc2FnZSI6IkJBaHBBdGtKIiwiZXhwIjpudWxsLCJwdXIiOiJibG9iX2lkIn19--7fff36545d15b81c67bdf300bf78cdd08eab8409/f|en;2016 amendments|https://climate-laws.org/rails/active_storage/blobs/eyJfcmFpbHMiOnsibWVzc2FnZSI6IkJBaHBBbzRLIiwiZXhwIjpudWxsLCJwdXIiOiJibG9iX2lkIn19--35177521da31ba082e46d65948de14d8df781d59/1323%20-%202016%20amendments.pdf|en</t>
  </si>
  <si>
    <t>Electricity Act 2003</t>
  </si>
  <si>
    <t>25/12/2003|Law passed||;25/12/2007|Last amendment||</t>
  </si>
  <si>
    <t>Full text|https://climate-laws.org/rails/active_storage/blobs/eyJfcmFpbHMiOnsibWVzc2FnZSI6IkJBaHBBdFVKIiwiZXhwIjpudWxsLCJwdXIiOiJibG9iX2lkIn19--9e9ac4e9a5ab2c5a85644678802e455c8eb936d9/f|;Full text - part 2|https://climate-laws.org/rails/active_storage/blobs/eyJfcmFpbHMiOnsibWVzc2FnZSI6IkJBaHBBdFlKIiwiZXhwIjpudWxsLCJwdXIiOiJibG9iX2lkIn19--524bb5a34852667997d5a70c12ff2700a62be49f/f|;Full text - part 3|https://climate-laws.org/rails/active_storage/blobs/eyJfcmFpbHMiOnsibWVzc2FnZSI6IkJBaHBBdGNKIiwiZXhwIjpudWxsLCJwdXIiOiJibG9iX2lkIn19--c6ff74d5201c1a9f0ed708bbd9f2b6d468a26c1f/f|</t>
  </si>
  <si>
    <t>Energy Conservation Act</t>
  </si>
  <si>
    <t>25/12/2001|Law passed;25/12/2010|Last amendment</t>
  </si>
  <si>
    <t>full text (pdf)|https://climate-laws.org/rails/active_storage/blobs/eyJfcmFpbHMiOnsibWVzc2FnZSI6IkJBaHBBdE1KIiwiZXhwIjpudWxsLCJwdXIiOiJibG9iX2lkIn19--b1e76785e8da061c06b46a6fc1b332dba2702be7/f|en;amendment|https://climate-laws.org/rails/active_storage/blobs/eyJfcmFpbHMiOnsibWVzc2FnZSI6IkJBaHBBbzhLIiwiZXhwIjpudWxsLCJwdXIiOiJibG9iX2lkIn19--a1a91e6e2f875e81223890501ac39e1889ecb679/1327%20-%20amendment.pdf|en</t>
  </si>
  <si>
    <t>Union Budget 2019-2020</t>
  </si>
  <si>
    <t>25/12/2019|Law passed</t>
  </si>
  <si>
    <t>Link to official website|https://www.indiabudget.gov.in/keytoBudDoc.php|;Official summary (pdf)|https://climate-laws.org/rails/active_storage/blobs/eyJfcmFpbHMiOnsibWVzc2FnZSI6IkJBaHBBdW9FIiwiZXhwIjpudWxsLCJwdXIiOiJibG9iX2lkIn19--38082b398e58350c7dbb5beaa1e7b1e2f350b1d4/f|</t>
  </si>
  <si>
    <t>Compensatory Afforestation Fund Act (Act no 38 of 2016)</t>
  </si>
  <si>
    <t>Provision of climate funds|Direct Investment;Nature based solutions and ecosystem restoration|Direct Investment;Institutional mandates|Governance;Processes, plans and strategies|Governance</t>
  </si>
  <si>
    <t>Reforestation;Biodiversity;Covid19;Stimulus Plan</t>
  </si>
  <si>
    <t>01/07/2016|passed||;30/09/2018|Entry into force||;12/05/2020|Budget allocated|Further budget allocated to CAMPA|</t>
  </si>
  <si>
    <t>Notification of entry into force|http://egazette.nic.in/WriteReadData/2018/188570.pdf|en;Full text (PDF)|https://climate-laws.org/rails/active_storage/blobs/eyJfcmFpbHMiOnsibWVzc2FnZSI6IkJBaHBBazRNIiwiZXhwIjpudWxsLCJwdXIiOiJibG9iX2lkIn19--a3504680cfd61f04cb52e49814ab877227764e89/The%20Compensatory%20Afforestation%20Fund%20Act,%202016.pdf|en</t>
  </si>
  <si>
    <t>Prime Minister's Farmer Energy Security and Upliftment Campaign (PM-KUSUM scheme)</t>
  </si>
  <si>
    <t>Subsidies|Economic;Provision of climate funds|Direct Investment;Other|Direct Investment</t>
  </si>
  <si>
    <t>Solar Panels;Renewables</t>
  </si>
  <si>
    <t>Energy;Rural;Social development</t>
  </si>
  <si>
    <t>Link to dedicated page on official website|https://www.india.gov.in/spotlight/pm-kusum-pradhan-mantri-kisan-urja-suraksha-evam-utthaan-mahabhiyan-scheme|en;Guidelines for implementation (PDF)|https://mnre.gov.in/img/documents/uploads/8065c8f7b9614c5ab2e8a7e30dfc29d5.pdf#page=2|en</t>
  </si>
  <si>
    <t>National Medium Term Development Plan 2020-2024 (RPJMN 2020-2024)</t>
  </si>
  <si>
    <t>Zoning &amp; Spatial Planning|Regulation;Processes, plans and strategies|Governance</t>
  </si>
  <si>
    <t>Agriculture;Economy-wide;Energy;Industry;LULUCF;Rural;Transportation;Waste;Water</t>
  </si>
  <si>
    <t>25/12/2015|Law passed||;17/01/2020|Amended||</t>
  </si>
  <si>
    <t>Full text of 2015-2019 version|https://climate-laws.org/rails/active_storage/blobs/eyJfcmFpbHMiOnsibWVzc2FnZSI6IkJBaHBBbE1JIiwiZXhwIjpudWxsLCJwdXIiOiJibG9iX2lkIn19--04ce3798b4845589f7021a9146b153d9784cd755/f|;Presentation of 2015-2019 version|https://climate-laws.org/rails/active_storage/blobs/eyJfcmFpbHMiOnsibWVzc2FnZSI6IkJBaHBBbFFJIiwiZXhwIjpudWxsLCJwdXIiOiJibG9iX2lkIn19--7a0cff2fccf03e771c85d1b84aee1305c366c336/f|;Link to 2020-2024 version|https://setkab.go.id/en/govt-issues-regulation-on-2020-2024-national-medium-term-development-plan/|</t>
  </si>
  <si>
    <t>NATIONAL SUSTAINABLE DEVELOPMENT STRATEGY FOR THE KYRGYZ REPUBLIC</t>
  </si>
  <si>
    <t>Kyrgyzstan</t>
  </si>
  <si>
    <t>KGZ</t>
  </si>
  <si>
    <t>https://climate-laws.org/rails/active_storage/blobs/eyJfcmFpbHMiOnsibWVzc2FnZSI6IkJBaHBBc3NIIiwiZXhwIjpudWxsLCJwdXIiOiJibG9iX2lkIn19--1237ef1b5a48161bd68049b75349f97f672b7a63/f|</t>
  </si>
  <si>
    <t>https://climate-laws.org/rails/active_storage/blobs/eyJfcmFpbHMiOnsibWVzc2FnZSI6IkJBaHBBc3NIIiwiZXhwIjpudWxsLCJwdXIiOiJibG9iX2lkIn19--1237ef1b5a48161bd68049b75349f97f672b7a63/f</t>
  </si>
  <si>
    <t>Joel</t>
  </si>
  <si>
    <t>НАЦИОНАЛЬНАЯ СТРАТЕГИЯ УСТОЙЧИВОГО РАЗВИТИЯ КЫРГЫЗСКОЙ РЕСПУБЛИКИ</t>
  </si>
  <si>
    <t>https://climate-laws.org/rails/active_storage/blobs/eyJfcmFpbHMiOnsibWVzc2FnZSI6IkJBaHBBc3dIIiwiZXhwIjpudWxsLCJwdXIiOiJibG9iX2lkIn19--48c62714f6bc49058625fe7843ff9293e12de842/f|</t>
  </si>
  <si>
    <t>https://climate-laws.org/rails/active_storage/blobs/eyJfcmFpbHMiOnsibWVzc2FnZSI6IkJBaHBBc3dIIiwiZXhwIjpudWxsLCJwdXIiOiJibG9iX2lkIn19--48c62714f6bc49058625fe7843ff9293e12de842/f</t>
  </si>
  <si>
    <t>CLIMATE CHANGE ADAPTATION PROGRAMME AND ACTION PLAN FOR 2015-2017 FOR THE FOREST AND BIODIVERSITY SECTOR</t>
  </si>
  <si>
    <t>https://climate-laws.org/rails/active_storage/blobs/eyJfcmFpbHMiOnsibWVzc2FnZSI6IkJBaHBBZ0FLIiwiZXhwIjpudWxsLCJwdXIiOiJibG9iX2lkIn19--a87b302ef5af0f5e072c0503281462c00b99761d/f|</t>
  </si>
  <si>
    <t>https://climate-laws.org/rails/active_storage/blobs/eyJfcmFpbHMiOnsibWVzc2FnZSI6IkJBaHBBZ0FLIiwiZXhwIjpudWxsLCJwdXIiOiJibG9iX2lkIn19--a87b302ef5af0f5e072c0503281462c00b99761d/f</t>
  </si>
  <si>
    <t>ПРОГРАММА И ПЛАН ДЕЙСТВИЙ ПО АДАПТАЦИИ К ИЗМЕНЕНИЮ КЛИМАТА СЕКТОРА «ЛЕС И БИОРАЗНООБРАЗИЕ» НА 2015-2017 гг.</t>
  </si>
  <si>
    <t>https://climate-laws.org/rails/active_storage/blobs/eyJfcmFpbHMiOnsibWVzc2FnZSI6IkJBaHBBZ0VLIiwiZXhwIjpudWxsLCJwdXIiOiJibG9iX2lkIn19--bcb50920b8e32f37c3c2b2de2b36895b85980ed7/f|</t>
  </si>
  <si>
    <t>https://climate-laws.org/rails/active_storage/blobs/eyJfcmFpbHMiOnsibWVzc2FnZSI6IkJBaHBBZ0VLIiwiZXhwIjpudWxsLCJwdXIiOiJibG9iX2lkIn19--bcb50920b8e32f37c3c2b2de2b36895b85980ed7/f</t>
  </si>
  <si>
    <t>Law on the Energy Efficiency of Buildings</t>
  </si>
  <si>
    <t>https://climate-laws.org/rails/active_storage/blobs/eyJfcmFpbHMiOnsibWVzc2FnZSI6IkJBaHBBdUlHIiwiZXhwIjpudWxsLCJwdXIiOiJibG9iX2lkIn19--d35e6f6d7354cffa89cea6da3bb70496c37cb331/f|</t>
  </si>
  <si>
    <t>https://climate-laws.org/rails/active_storage/blobs/eyJfcmFpbHMiOnsibWVzc2FnZSI6IkJBaHBBdUlHIiwiZXhwIjpudWxsLCJwdXIiOiJibG9iX2lkIn19--d35e6f6d7354cffa89cea6da3bb70496c37cb331/f</t>
  </si>
  <si>
    <t>ЗАКОН Об энергетической эффективности зданий</t>
  </si>
  <si>
    <t>https://climate-laws.org/rails/active_storage/blobs/eyJfcmFpbHMiOnsibWVzc2FnZSI6IkJBaHBBdU1HIiwiZXhwIjpudWxsLCJwdXIiOiJibG9iX2lkIn19--e96a99b34988c29443824c73bb8fb19469366e44/f|</t>
  </si>
  <si>
    <t>https://climate-laws.org/rails/active_storage/blobs/eyJfcmFpbHMiOnsibWVzc2FnZSI6IkJBaHBBdU1HIiwiZXhwIjpudWxsLCJwdXIiOiJibG9iX2lkIn19--e96a99b34988c29443824c73bb8fb19469366e44/f</t>
  </si>
  <si>
    <t>ПРОГРАММА по переходу Кыргызской Республики к устойчивому развитию на 2013-2017 годы</t>
  </si>
  <si>
    <t>http://cbd.minjust.gov.kg/act/view/ru-ru/53067|ru</t>
  </si>
  <si>
    <t>http://cbd.minjust.gov.kg/act/view/ru-ru/53067</t>
  </si>
  <si>
    <t>https://monitoring.edu.kg/wp-content/uploads/2013/09/sd_program_en.pdf|en</t>
  </si>
  <si>
    <t>https://monitoring.edu.kg/wp-content/uploads/2013/09/sd_program_en.pdf</t>
  </si>
  <si>
    <t>ПОСТАНОВЛЕНИЕ Об одобрении проекта Программы по переходу Кыргызской Республики к устойчивому развитию на 2013-2017 годы </t>
  </si>
  <si>
    <t>http://cbd.minjust.gov.kg/act/view/ru-ru/53066?cl=ru-ru|ru</t>
  </si>
  <si>
    <t>http://cbd.minjust.gov.kg/act/view/ru-ru/53066?cl=ru-ru</t>
  </si>
  <si>
    <t>https://www.un-page.org/files/public/kyrgyz_national_sustainable_development_strategy.pdf|en</t>
  </si>
  <si>
    <t>https://www.un-page.org/files/public/kyrgyz_national_sustainable_development_strategy.pdf</t>
  </si>
  <si>
    <t>ПОСТАНОВЛЕНИЕ О вопросах Государственного комитета по экологии и климату Кыргызской Республики</t>
  </si>
  <si>
    <t>http://cbd.minjust.gov.kg/act/view/ru-ru/158278|ru</t>
  </si>
  <si>
    <t>http://cbd.minjust.gov.kg/act/view/ru-ru/158278</t>
  </si>
  <si>
    <t>Постановление Кабинета Министров Кыргызской Республики от 19 мая 2021 года № 11 О вопросах Государственного комитета по экологии и климату Кыргызской Республики</t>
  </si>
  <si>
    <t>https://www.gov.kg/ru/npa/s/3116|ru</t>
  </si>
  <si>
    <t>https://www.gov.kg/ru/npa/s/3116</t>
  </si>
  <si>
    <t>Положение о Государственном комитете по экологии и климату</t>
  </si>
  <si>
    <t>http://cbd.minjust.gov.kg/act/view/ru-ru/158279?cl=ru-ru|ru</t>
  </si>
  <si>
    <t>http://cbd.minjust.gov.kg/act/view/ru-ru/158279?cl=ru-ru</t>
  </si>
  <si>
    <t>ПОСТАНОВЛЕНИЕ Об утверждении Стратегии устойчивого развития промышленности Кыргызской Республики на 2019-2023 годы</t>
  </si>
  <si>
    <t>http://cbd.minjust.gov.kg/act/view/ru-ru/157189|ru</t>
  </si>
  <si>
    <t>http://cbd.minjust.gov.kg/act/view/ru-ru/157189</t>
  </si>
  <si>
    <t>Strategy for Sustainable Industrial Development of the Kyrgyz Republic 2019-2023</t>
  </si>
  <si>
    <t>https://www.unido.org/sites/default/files/files/2020-04/KGZ%20IDS%202019-2023_unofficial%20English%20translation.pdf|en</t>
  </si>
  <si>
    <t>https://www.unido.org/sites/default/files/files/2020-04/KGZ%20IDS%202019-2023_unofficial%20English%20translation.pdf</t>
  </si>
  <si>
    <t>Latvijas Stratēģiskās attīstības plāns 2010.–2013.gadam</t>
  </si>
  <si>
    <t>Latvia</t>
  </si>
  <si>
    <t>LVA</t>
  </si>
  <si>
    <t>Latvian</t>
  </si>
  <si>
    <t>https://climate-laws.org/rails/active_storage/blobs/eyJfcmFpbHMiOnsibWVzc2FnZSI6IkJBaHBBcThHIiwiZXhwIjpudWxsLCJwdXIiOiJibG9iX2lkIn19--70bc520cfba6948471c61a98453f6ecf5cd848d3/f|</t>
  </si>
  <si>
    <t>https://climate-laws.org/rails/active_storage/blobs/eyJfcmFpbHMiOnsibWVzc2FnZSI6IkJBaHBBcThHIiwiZXhwIjpudWxsLCJwdXIiOiJibG9iX2lkIn19--70bc520cfba6948471c61a98453f6ecf5cd848d3/f</t>
  </si>
  <si>
    <t>Latvijas Nacionālais attīstības plāns 2014. – 2020. gadam</t>
  </si>
  <si>
    <t>https://climate-laws.org/rails/active_storage/blobs/eyJfcmFpbHMiOnsibWVzc2FnZSI6IkJBaHBBckFHIiwiZXhwIjpudWxsLCJwdXIiOiJibG9iX2lkIn19--84b51fba920d1a021f2fe698fcd7180d31fe26f4/f|</t>
  </si>
  <si>
    <t>https://climate-laws.org/rails/active_storage/blobs/eyJfcmFpbHMiOnsibWVzc2FnZSI6IkJBaHBBckFHIiwiZXhwIjpudWxsLCJwdXIiOiJibG9iX2lkIn19--84b51fba920d1a021f2fe698fcd7180d31fe26f4/f</t>
  </si>
  <si>
    <t>Par informatīvo ziņojumu “Latvijas stratēģija klimatneitralitātes sasniegšanai līdz 2050. gadam”</t>
  </si>
  <si>
    <t>https://climate-laws.org/rails/active_storage/blobs/eyJfcmFpbHMiOnsibWVzc2FnZSI6IkJBaHBBdGdMIiwiZXhwIjpudWxsLCJwdXIiOiJibG9iX2lkIn19--12ef7e5c41785d2da553fa30af28915a4b37ac30/VARAMProt_051219_KlimatStrat.2437.docx|lv</t>
  </si>
  <si>
    <t>https://climate-laws.org/rails/active_storage/blobs/eyJfcmFpbHMiOnsibWVzc2FnZSI6IkJBaHBBdGdMIiwiZXhwIjpudWxsLCJwdXIiOiJibG9iX2lkIn19--12ef7e5c41785d2da553fa30af28915a4b37ac30/VARAMProt_051219_KlimatStrat.2437.docx</t>
  </si>
  <si>
    <t>Latvijas stratēģija klimatneitralitātes sasniegšanai līdz 2050. gadam</t>
  </si>
  <si>
    <t>http://www.zrea.lv/upload/attach/2%20Latvijas%20klimata%20neitralitates%20strategija%202050.pdf|lv</t>
  </si>
  <si>
    <t>http://www.zrea.lv/upload/attach/2%20Latvijas%20klimata%20neitralitates%20strategija%202050.pdf</t>
  </si>
  <si>
    <t>http://tap.mk.gov.lv/lv/mk/tap/?pid=40462398&amp;mode=mk&amp;date=2020-01-28|lv</t>
  </si>
  <si>
    <t>http://tap.mk.gov.lv/lv/mk/tap/?pid=40462398&amp;mode=mk&amp;date=2020-01-28</t>
  </si>
  <si>
    <t>LATVIA’S NATIONAL ENERGY AND CLIMATE PLAN 2021–2030</t>
  </si>
  <si>
    <t>https://ec.europa.eu/energy/sites/ener/files/documents/lv_final_necp_main_en.pdf|en</t>
  </si>
  <si>
    <t>https://ec.europa.eu/energy/sites/ener/files/documents/lv_final_necp_main_en.pdf</t>
  </si>
  <si>
    <t>LATVIJAS NACIONĀLAIS ENERĢĒTIKAS UN KLIMATA PLĀNS 2021. – 2030. GADAM</t>
  </si>
  <si>
    <t>https://ec.europa.eu/energy/sites/ener/files/documents/lv_final_necp_main_lv.pdf|lv</t>
  </si>
  <si>
    <t>https://ec.europa.eu/energy/sites/ener/files/documents/lv_final_necp_main_lv.pdf</t>
  </si>
  <si>
    <t>Latvia's recovery and resilience plan</t>
  </si>
  <si>
    <t>https://ec.europa.eu/info/business-economy-euro/recovery-coronavirus/recovery-and-resilience-facility/latvias-recovery-and-resilience-plan_en|en</t>
  </si>
  <si>
    <t>https://ec.europa.eu/info/business-economy-euro/recovery-coronavirus/recovery-and-resilience-facility/latvias-recovery-and-resilience-plan_en</t>
  </si>
  <si>
    <t>Recovery and resilience plan for Latvia - EU Decisions</t>
  </si>
  <si>
    <t>https://www.consilium.europa.eu/en/documents-publications/public-register/public-register-search/results/?WordsInSubject=&amp;WordsInText=&amp;DocumentNumber=10157%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</si>
  <si>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10157%2F21&amp;InterinstitutionalFiles=&amp;DocumentDateFrom=&amp;DocumentDateTo=&amp;MeetingDateFrom=&amp;MeetingDateTo=&amp;DocumentLanguage=EN&amp;OrderBy=DOCUMENT_DATE+DESC&amp;ctl00%24ctl00%24cpMain%24cpMain%24btnSubmit=</t>
  </si>
  <si>
    <t>Factsheet: Latvia’s recovery and resilience plan</t>
  </si>
  <si>
    <t>https://ec.europa.eu/info/files/factsheet-latvias-recovery-and-resilience-plan_en|en</t>
  </si>
  <si>
    <t>https://ec.europa.eu/info/files/factsheet-latvias-recovery-and-resilience-plan_en</t>
  </si>
  <si>
    <t>EIROPAS KOMISIJAS DOKUMENTI</t>
  </si>
  <si>
    <t>https://www.esfondi.lv/normativie-akti-1|lv</t>
  </si>
  <si>
    <t>https://www.esfondi.lv/normativie-akti-1</t>
  </si>
  <si>
    <t>EIROPAS SAVIENĪBAS ATVESEĻOŠANAS UN NOTURĪBAS MEHĀNISMA PLĀNS LATVIJA 2021-2026</t>
  </si>
  <si>
    <t>https://www.esfondi.lv/upload/anm/01_anm_plans_04062021.pdf|lv</t>
  </si>
  <si>
    <t>https://www.esfondi.lv/upload/anm/01_anm_plans_04062021.pdf</t>
  </si>
  <si>
    <t>Lebanon National Forest Program</t>
  </si>
  <si>
    <t>Lebanon</t>
  </si>
  <si>
    <t>LBN</t>
  </si>
  <si>
    <t>http://extwprlegs1.fao.org/docs/pdf/leb163865.pdf|en</t>
  </si>
  <si>
    <t>http://extwprlegs1.fao.org/docs/pdf/leb163865.pdf</t>
  </si>
  <si>
    <t>http://www.lse.ac.uk/GranthamInstitute/wp-content/uploads/2018/02/LBNforestprogram.pdf|en</t>
  </si>
  <si>
    <t>http://www.lse.ac.uk/GranthamInstitute/wp-content/uploads/2018/02/LBNforestprogram.pdf</t>
  </si>
  <si>
    <t>http://lcec.org.lb/Content/uploads/LCECOther/161214021429307~NREAP_DEC14.pdf|</t>
  </si>
  <si>
    <t>http://lcec.org.lb/Content/uploads/LCECOther/161214021429307~NREAP_DEC14.pdf</t>
  </si>
  <si>
    <t>The National Renewable Energy Action Plan for the Republic of Lebanon 2016-2020</t>
  </si>
  <si>
    <t>http://www.lse.ac.uk/GranthamInstitute/wp-content/uploads/2018/02/LBNNREAP_DEC14.pdf|</t>
  </si>
  <si>
    <t>http://www.lse.ac.uk/GranthamInstitute/wp-content/uploads/2018/02/LBNNREAP_DEC14.pdf</t>
  </si>
  <si>
    <t>PRO-POOR AGENDA FOR PROSPERITY AND DEVELOPMENT</t>
  </si>
  <si>
    <t>Liberia</t>
  </si>
  <si>
    <t>LBR</t>
  </si>
  <si>
    <t>https://www.emansion.gov.lr/doc/Pro-Poor%20Agenda%20For%20Prosperity%20And%20Development%20book%20for%20Email%20sending%20(1).pdf%20-%20Compressed.pdf|en</t>
  </si>
  <si>
    <t>https://www.emansion.gov.lr/doc/Pro-Poor%20Agenda%20For%20Prosperity%20And%20Development%20book%20for%20Email%20sending%20(1).pdf%20-%20Compressed.pdf</t>
  </si>
  <si>
    <t>LIBERIA NATIONAL VISION 2030</t>
  </si>
  <si>
    <t>https://climate-laws.org/rails/active_storage/blobs/eyJfcmFpbHMiOnsibWVzc2FnZSI6IkJBaHBBbThPIiwiZXhwIjpudWxsLCJwdXIiOiJibG9iX2lkIn19--fbb0e75b57bafb9e128c78066a09cdfbba459a38/Liberia%20Vision%202030.pdf|en</t>
  </si>
  <si>
    <t>https://climate-laws.org/rails/active_storage/blobs/eyJfcmFpbHMiOnsibWVzc2FnZSI6IkJBaHBBbThPIiwiZXhwIjpudWxsLCJwdXIiOiJibG9iX2lkIn19--fbb0e75b57bafb9e128c78066a09cdfbba459a38/Liberia%20Vision%202030.pdf</t>
  </si>
  <si>
    <t>NUTARIMAS DĖL NACIONALINĖS KLIMATO KAITOS VALDYMO POLITIKOS STRATEGIJOS PATVIRTINIMO</t>
  </si>
  <si>
    <t>Lithuania</t>
  </si>
  <si>
    <t>LTU</t>
  </si>
  <si>
    <t>Lithuanian</t>
  </si>
  <si>
    <t>https://climate-laws.org/rails/active_storage/blobs/eyJfcmFpbHMiOnsibWVzc2FnZSI6IkJBaHBBc0VIIiwiZXhwIjpudWxsLCJwdXIiOiJibG9iX2lkIn19--a3f5ac53bc7194731f17aeeb71c86607f84513f1/f|</t>
  </si>
  <si>
    <t>https://climate-laws.org/rails/active_storage/blobs/eyJfcmFpbHMiOnsibWVzc2FnZSI6IkJBaHBBc0VIIiwiZXhwIjpudWxsLCJwdXIiOiJibG9iX2lkIn19--a3f5ac53bc7194731f17aeeb71c86607f84513f1/f</t>
  </si>
  <si>
    <t>RESOLUTION APPROVING THE NATIONAL STRATEGY FOR CLIMATE CHANGE MANAGEMENT POLICY</t>
  </si>
  <si>
    <t>https://climate-laws.org/rails/active_storage/blobs/eyJfcmFpbHMiOnsibWVzc2FnZSI6IkJBaHBBc0lIIiwiZXhwIjpudWxsLCJwdXIiOiJibG9iX2lkIn19--a86afb29787a908820d6c7f0bd873d38fc550dd1/f|</t>
  </si>
  <si>
    <t>https://climate-laws.org/rails/active_storage/blobs/eyJfcmFpbHMiOnsibWVzc2FnZSI6IkJBaHBBc0lIIiwiZXhwIjpudWxsLCJwdXIiOiJibG9iX2lkIn19--a86afb29787a908820d6c7f0bd873d38fc550dd1/f</t>
  </si>
  <si>
    <t>NATIONAL ENERGY AND CLIMATE ACTION PLAN OF THE REPUBLIC OF LITHUANIA FOR 2021-2030</t>
  </si>
  <si>
    <t>https://ec.europa.eu/energy/sites/ener/files/documents/lt_final_necp_main_en.pdf|en</t>
  </si>
  <si>
    <t>https://ec.europa.eu/energy/sites/ener/files/documents/lt_final_necp_main_en.pdf</t>
  </si>
  <si>
    <t>LIETUVOS RESPUBLIKOS NACIONALINIS ENERGETIKOS IR KLIMATO SRITIES VEIKSMŲ PLANAS 2021-2030 m.</t>
  </si>
  <si>
    <t>https://ec.europa.eu/energy/sites/ener/files/documents/lt_final_necp_main_lt.pdf|lt</t>
  </si>
  <si>
    <t>https://ec.europa.eu/energy/sites/ener/files/documents/lt_final_necp_main_lt.pdf</t>
  </si>
  <si>
    <t>Lithuania’s recovery and resilience plan</t>
  </si>
  <si>
    <t>https://ec.europa.eu/info/business-economy-euro/recovery-coronavirus/recovery-and-resilience-facility/lithuanias-recovery-and-resilience-plan_en|en</t>
  </si>
  <si>
    <t>https://ec.europa.eu/info/business-economy-euro/recovery-coronavirus/recovery-and-resilience-facility/lithuanias-recovery-and-resilience-plan_en</t>
  </si>
  <si>
    <t>Lithuania’s recovery and resilience plan - additional documents</t>
  </si>
  <si>
    <t>https://www.consilium.europa.eu/en/documents-publications/public-register/public-register-search/results/?WordsInSubject=&amp;WordsInText=&amp;DocumentNumber=10477%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</si>
  <si>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10477%2F21&amp;InterinstitutionalFiles=&amp;DocumentDateFrom=&amp;DocumentDateTo=&amp;MeetingDateFrom=&amp;MeetingDateTo=&amp;DocumentLanguage=EN&amp;OrderBy=DOCUMENT_DATE+DESC&amp;ctl00%24ctl00%24cpMain%24cpMain%24btnSubmit=</t>
  </si>
  <si>
    <t>EKONOMIKOS GAIVINIMO IR ATSPARUMO DIDINIMO PLANAS „NAUJOS KARTOS LIETUVA“</t>
  </si>
  <si>
    <t>Economic Recovery and Resilience Plan: “New Generation Lithuania”</t>
  </si>
  <si>
    <t>https://finmin.lrv.lt/uploads/finmin/documents/files/Naujos%20kartos%20Lietuva%20planas.pdf|lt</t>
  </si>
  <si>
    <t>https://finmin.lrv.lt/uploads/finmin/documents/files/Naujos%20kartos%20Lietuva%20planas.pdf</t>
  </si>
  <si>
    <t>Factsheet: Lithuania’s recovery and resilience plan</t>
  </si>
  <si>
    <t>https://ec.europa.eu/info/files/factsheet-lithuanias-recovery-and-resilience-plan_en|en</t>
  </si>
  <si>
    <t>https://ec.europa.eu/info/files/factsheet-lithuanias-recovery-and-resilience-plan_en</t>
  </si>
  <si>
    <t>Loi du 23 décembre 2016 relative à un régime d'aides à des prêts climatiques</t>
  </si>
  <si>
    <t>Luxembourg</t>
  </si>
  <si>
    <t>LUX</t>
  </si>
  <si>
    <t>http://legilux.public.lu/eli/etat/leg/loi/2016/12/23/n23/jo|fr</t>
  </si>
  <si>
    <t>http://legilux.public.lu/eli/etat/leg/loi/2016/12/23/n23/jo</t>
  </si>
  <si>
    <t>RECUEIL DE LEGISLATION:  PAQUET BANQUE CLIMATIQUE ET LOGEMENT DURABLE</t>
  </si>
  <si>
    <t>http://data.legilux.public.lu/file/eli-etat-leg-memorial-2016-299-fr-pdf.pdf|fr</t>
  </si>
  <si>
    <t>http://data.legilux.public.lu/file/eli-etat-leg-memorial-2016-299-fr-pdf.pdf</t>
  </si>
  <si>
    <t>application/pdf;charset=UTF-8</t>
  </si>
  <si>
    <t>http://www.lse.ac.uk/GranthamInstitute/wp-content/uploads/2018/02/LUXclimate-and-housing-package.pdf|fr</t>
  </si>
  <si>
    <t>http://www.lse.ac.uk/GranthamInstitute/wp-content/uploads/2018/02/LUXclimate-and-housing-package.pdf</t>
  </si>
  <si>
    <t>Loi du 13 septembre 2012 portant  1. création d'un pacte climat avec les communes  2. modification de la loi modifiée du 31 mai 1999 portant institution d'un fonds pour la protection de l'environnement.</t>
  </si>
  <si>
    <t>http://legilux.public.lu/eli/etat/leg/loi/2012/09/13/n1/jo|fr</t>
  </si>
  <si>
    <t>http://legilux.public.lu/eli/etat/leg/loi/2012/09/13/n1/jo</t>
  </si>
  <si>
    <t>Loi du 29 mars 2016 modifiant la loi du 13 septembre 2012 portant création d'un pacte climat avec les communes.</t>
  </si>
  <si>
    <t>http://legilux.public.lu/eli/etat/leg/loi/2016/03/29/n7/jo|fr</t>
  </si>
  <si>
    <t>http://legilux.public.lu/eli/etat/leg/loi/2016/03/29/n7/jo</t>
  </si>
  <si>
    <t>Loi du 29 mars 2016 modifiant la loi du 13 septembre 2012 portant création d’un pacte climat avec les communes</t>
  </si>
  <si>
    <t>http://www.lse.ac.uk/GranthamInstitute/wp-content/uploads/2018/02/LUXclimate-pact-municipalities.pdf|en</t>
  </si>
  <si>
    <t>http://www.lse.ac.uk/GranthamInstitute/wp-content/uploads/2018/02/LUXclimate-pact-municipalities.pdf</t>
  </si>
  <si>
    <t>Loi du 19 juin 2015 modifiant la loi modifiée du 1er août 2007 relative à l’organisation du marché du gaz naturel.</t>
  </si>
  <si>
    <t>http://legilux.public.lu/eli/etat/leg/loi/2015/06/19/n6/jo|fr</t>
  </si>
  <si>
    <t>http://legilux.public.lu/eli/etat/leg/loi/2015/06/19/n6/jo</t>
  </si>
  <si>
    <t>Recueil de legislation: Loi du 19 juin 2015 modifiant la loi modifiée du 1 er août 2007 relative à l’organisation du marché du gaz naturel</t>
  </si>
  <si>
    <t>http://www.lse.ac.uk/GranthamInstitute/wp-content/uploads/2018/02/LUX-NG-gas-market-law.pdf|fr</t>
  </si>
  <si>
    <t>http://www.lse.ac.uk/GranthamInstitute/wp-content/uploads/2018/02/LUX-NG-gas-market-law.pdf</t>
  </si>
  <si>
    <t>Loi du 27 août 2012 a) relative au stockage géologique du dioxyde de carbone  b) modifiant la loi modifiée du 19 décembre 2008 relative à l'eau  c) modifiant la loi du 20 avril 2009 relative à la responsabilité environnementale.</t>
  </si>
  <si>
    <t>http://legilux.public.lu/eli/etat/leg/loi/2012/08/27/n1/jo|fr</t>
  </si>
  <si>
    <t>http://legilux.public.lu/eli/etat/leg/loi/2012/08/27/n1/jo</t>
  </si>
  <si>
    <t>Recueil de legislation: STOCKAGE GÉOLOGIQUE DU DIOXYDE DE CARBONE</t>
  </si>
  <si>
    <t>http://www.lse.ac.uk/GranthamInstitute/wp-content/uploads/2018/02/LUXgeological-storage-and-env-responsibility.pdf|fr</t>
  </si>
  <si>
    <t>http://www.lse.ac.uk/GranthamInstitute/wp-content/uploads/2018/02/LUXgeological-storage-and-env-responsibility.pdf</t>
  </si>
  <si>
    <t>Loi du 15 décembre 2017 concernant le budget des recettes et des dépenses de l’État pour l’exercice 2018</t>
  </si>
  <si>
    <t>http://www.lse.ac.uk/GranthamInstitute/wp-content/uploads/2018/02/LUX-budget-2017.pdf|fr</t>
  </si>
  <si>
    <t>http://www.lse.ac.uk/GranthamInstitute/wp-content/uploads/2018/02/LUX-budget-2017.pdf</t>
  </si>
  <si>
    <t>Loi du 15 décembre 2017 concernant le budget des recettes et des dépenses de l’État pour l’exercice 2018 et modifiant</t>
  </si>
  <si>
    <t>http://legilux.public.lu/eli/etat/leg/loi/2017/12/15/a1097/jo|fr</t>
  </si>
  <si>
    <t>http://legilux.public.lu/eli/etat/leg/loi/2017/12/15/a1097/jo</t>
  </si>
  <si>
    <t>Présentation de la première partie "Clever Wunnen" du paquet "Gréng  Relance fir Lëtzebuerg – E Plus fir d'Klima, d'Handwierk an d'Bierger"</t>
  </si>
  <si>
    <t>Presentation of the first “Clever Living” part of the package “Green relaunch for Luxembourg - a plus for the climate, skills and citizens”</t>
  </si>
  <si>
    <t>Luxembourgish</t>
  </si>
  <si>
    <t>https://gouvernement.lu/fr/actualites/toutes_actualites/communiques/2020/05-mai/29-greng-relance.html|fr</t>
  </si>
  <si>
    <t>https://gouvernement.lu/fr/actualites/toutes_actualites/communiques/2020/05-mai/29-greng-relance.html</t>
  </si>
  <si>
    <t xml:space="preserve">Nouvelle prime vélos: coup d’accélérateur exceptionnel pour la mobilité douce </t>
  </si>
  <si>
    <t>https://environnement.public.lu/fr/actualites/2020/06/primes.html|fr</t>
  </si>
  <si>
    <t>https://environnement.public.lu/fr/actualites/2020/06/primes.html</t>
  </si>
  <si>
    <t>LUXEMBOURG’S INTEGRATED NATIONAL ENERGY AND CLIMATE PLAN FOR 2021-2030</t>
  </si>
  <si>
    <t>https://ec.europa.eu/energy/sites/ener/files/documents/lu_final_necp_main_en.pdf|en</t>
  </si>
  <si>
    <t>https://ec.europa.eu/energy/sites/ener/files/documents/lu_final_necp_main_en.pdf</t>
  </si>
  <si>
    <t>INTEGRIERTER NATIONALER ENERGIE- UND KLIMAPLAN LUXEMBURGS FÜR DEN ZEITRAUM 2021-2030</t>
  </si>
  <si>
    <t>https://ec.europa.eu/energy/sites/ener/files/documents/lu_final_necp_main_de.pdf|de</t>
  </si>
  <si>
    <t>https://ec.europa.eu/energy/sites/ener/files/documents/lu_final_necp_main_de.pdf</t>
  </si>
  <si>
    <t>PLAN NATIONAL INTÉGRÉ EN MATIÈRE D’ÉNERGIE ET DE CLIMAT DU LUXEMBOURG POUR LA PÉRIODE 2021-2030</t>
  </si>
  <si>
    <t>https://ec.europa.eu/energy/sites/ener/files/documents/lu_final_necp_main_fr.pdf|fr</t>
  </si>
  <si>
    <t>https://ec.europa.eu/energy/sites/ener/files/documents/lu_final_necp_main_fr.pdf</t>
  </si>
  <si>
    <t>Luxembourg’s recovery and resilience plan</t>
  </si>
  <si>
    <t>https://ec.europa.eu/info/business-economy-euro/recovery-coronavirus/recovery-and-resilience-facility/luxembourgs-recovery-and-resilience-plan_en|en</t>
  </si>
  <si>
    <t>https://ec.europa.eu/info/business-economy-euro/recovery-coronavirus/recovery-and-resilience-facility/luxembourgs-recovery-and-resilience-plan_en</t>
  </si>
  <si>
    <t>ANEXO de la Decisión de Ejecución del Consejo relativa a la aprobación de la  evaluación del plan de recuperación y resiliencia de Luxemburgo</t>
  </si>
  <si>
    <t>https://www.consilium.europa.eu/en/documents-publications/public-register/public-register-search/results/?WordsInSubject=&amp;WordsInText=&amp;DocumentNumber=10155%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</si>
  <si>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10155%2F21&amp;InterinstitutionalFiles=&amp;DocumentDateFrom=&amp;DocumentDateTo=&amp;MeetingDateFrom=&amp;MeetingDateTo=&amp;DocumentLanguage=EN&amp;OrderBy=DOCUMENT_DATE+DESC&amp;ctl00%24ctl00%24cpMain%24cpMain%24btnSubmit=</t>
  </si>
  <si>
    <t>Plan pour la Reprise et la Résilience</t>
  </si>
  <si>
    <t>https://mfin.gouvernement.lu/fr/dossiers/2021/planderelance.html|fr</t>
  </si>
  <si>
    <t>https://mfin.gouvernement.lu/fr/dossiers/2021/planderelance.html</t>
  </si>
  <si>
    <t>Factsheet: Luxembourg’s recovery and resilience plan</t>
  </si>
  <si>
    <t>https://ec.europa.eu/info/files/factsheet-luxembourgs-recovery-and-resilience-plan_en|en</t>
  </si>
  <si>
    <t>https://ec.europa.eu/info/files/factsheet-luxembourgs-recovery-and-resilience-plan_en</t>
  </si>
  <si>
    <t>Recovery and resilience plan for Luxembourg</t>
  </si>
  <si>
    <t>https://ec.europa.eu/info/files/recovery-and-resilience-plan-luxembourg_en|fr</t>
  </si>
  <si>
    <t>https://ec.europa.eu/info/files/recovery-and-resilience-plan-luxembourg_en</t>
  </si>
  <si>
    <t>Renewable Energy Act 2011</t>
  </si>
  <si>
    <t>Malaysia</t>
  </si>
  <si>
    <t>MYS</t>
  </si>
  <si>
    <t>https://climate-laws.org/rails/active_storage/blobs/eyJfcmFpbHMiOnsibWVzc2FnZSI6IkJBaHBBbVlKIiwiZXhwIjpudWxsLCJwdXIiOiJibG9iX2lkIn19--0ea7ef5dc724963eecd43b5c1c209b2d1cdcde10/f|en</t>
  </si>
  <si>
    <t>https://climate-laws.org/rails/active_storage/blobs/eyJfcmFpbHMiOnsibWVzc2FnZSI6IkJBaHBBbVlKIiwiZXhwIjpudWxsLCJwdXIiOiJibG9iX2lkIn19--0ea7ef5dc724963eecd43b5c1c209b2d1cdcde10/f</t>
  </si>
  <si>
    <t>PERINTAH TENAGA BOLEH BAHARU (PINDAAN JADUAL) (NO. 2) 2015</t>
  </si>
  <si>
    <t>http://www.lse.ac.uk/GranthamInstitute/wp-content/uploads/laws/1437_amendment%202015.pdf|ms</t>
  </si>
  <si>
    <t>http://www.lse.ac.uk/GranthamInstitute/wp-content/uploads/laws/1437_amendment%202015.pdf</t>
  </si>
  <si>
    <t>ELECTRICITY SUPPLY ACT 1990</t>
  </si>
  <si>
    <t>https://climate-laws.org/rails/active_storage/blobs/eyJfcmFpbHMiOnsibWVzc2FnZSI6IkJBaHBBbDhKIiwiZXhwIjpudWxsLCJwdXIiOiJibG9iX2lkIn19--43849ea572ad088115abb568d774ff73bd56d51a/f|</t>
  </si>
  <si>
    <t>https://climate-laws.org/rails/active_storage/blobs/eyJfcmFpbHMiOnsibWVzc2FnZSI6IkJBaHBBbDhKIiwiZXhwIjpudWxsLCJwdXIiOiJibG9iX2lkIn19--43849ea572ad088115abb568d774ff73bd56d51a/f</t>
  </si>
  <si>
    <t>ELECTRICITY SUPPLY (AMENDMENT) ACT 2015</t>
  </si>
  <si>
    <t>https://climate-laws.org/rails/active_storage/blobs/eyJfcmFpbHMiOnsibWVzc2FnZSI6IkJBaHBBbUFKIiwiZXhwIjpudWxsLCJwdXIiOiJibG9iX2lkIn19--b0cd58e70e40c9fb42db5532d18cc6068e9e9237/f|</t>
  </si>
  <si>
    <t>https://climate-laws.org/rails/active_storage/blobs/eyJfcmFpbHMiOnsibWVzc2FnZSI6IkJBaHBBbUFKIiwiZXhwIjpudWxsLCJwdXIiOiJibG9iX2lkIn19--b0cd58e70e40c9fb42db5532d18cc6068e9e9237/f</t>
  </si>
  <si>
    <t>Climate Change Policy Framework</t>
  </si>
  <si>
    <t>Maldives</t>
  </si>
  <si>
    <t>MDV</t>
  </si>
  <si>
    <t>http://www.environment.gov.mv/v2/en/download/4594|en</t>
  </si>
  <si>
    <t>http://www.environment.gov.mv/v2/en/download/4594</t>
  </si>
  <si>
    <t>https://climate-laws.org/rails/active_storage/blobs/eyJfcmFpbHMiOnsibWVzc2FnZSI6IkJBaHBBcTBNIiwiZXhwIjpudWxsLCJwdXIiOiJibG9iX2lkIn19--cb6bc99a14cd5ced9e62c4f438f9f5291430ecef/2015%20National%20Climate%20Change%20Policy.pdf|en</t>
  </si>
  <si>
    <t>https://climate-laws.org/rails/active_storage/blobs/eyJfcmFpbHMiOnsibWVzc2FnZSI6IkJBaHBBcTBNIiwiZXhwIjpudWxsLCJwdXIiOiJibG9iX2lkIn19--cb6bc99a14cd5ced9e62c4f438f9f5291430ecef/2015%20National%20Climate%20Change%20Policy.pdf</t>
  </si>
  <si>
    <t>COUNCIL IMPLEMENTING DECISION on the approval of the assessment of the recovery and resilience plan for Malta</t>
  </si>
  <si>
    <t>Malta</t>
  </si>
  <si>
    <t>MLT</t>
  </si>
  <si>
    <t>https://eur-lex.europa.eu/legal-content/EN/TXT/?uri=CONSIL:ST_11941_2021_INIT|en</t>
  </si>
  <si>
    <t>https://eur-lex.europa.eu/legal-content/EN/TXT/?uri=CONSIL:ST_11941_2021_INIT</t>
  </si>
  <si>
    <t>ANNEX to the Council Implementing Decision on the approval of the assessment of the recovery and resilience plan for Malta</t>
  </si>
  <si>
    <t>https://eur-lex.europa.eu/legal-content/EN/TXT/?uri=CONSIL:ST_11941_2021_ADD_1|en</t>
  </si>
  <si>
    <t>https://eur-lex.europa.eu/legal-content/EN/TXT/?uri=CONSIL:ST_11941_2021_ADD_1</t>
  </si>
  <si>
    <t>Recovery and Resilience Facility</t>
  </si>
  <si>
    <t>https://eufunds.gov.mt/en/Operational%20Programmes/Pages/Recovery-and-Resilience-Facility.aspx|en</t>
  </si>
  <si>
    <t>https://eufunds.gov.mt/en/Operational%20Programmes/Pages/Recovery-and-Resilience-Facility.aspx</t>
  </si>
  <si>
    <t>Malta’s recovery and resilience</t>
  </si>
  <si>
    <t>https://ec.europa.eu/info/business-economy-euro/recovery-coronavirus/recovery-and-resilience-facility/maltas-recovery-and-resilience-plan_en|en</t>
  </si>
  <si>
    <t>https://ec.europa.eu/info/business-economy-euro/recovery-coronavirus/recovery-and-resilience-facility/maltas-recovery-and-resilience-plan_en</t>
  </si>
  <si>
    <t>Malta’s Recovery &amp; Resilience Plan</t>
  </si>
  <si>
    <t>https://eufunds.gov.mt/en/Operational%20Programmes/Documents/Malta%27s%20Recovery%20%20Resiliance%20Plan%20-%20July%202021.pdf|en</t>
  </si>
  <si>
    <t>https://eufunds.gov.mt/en/Operational%20Programmes/Documents/Malta%27s%20Recovery%20%20Resiliance%20Plan%20-%20July%202021.pdf</t>
  </si>
  <si>
    <t>LAYING THE FOUNDATIONS FOR RECOVERY: MALTA</t>
  </si>
  <si>
    <t>https://ec.europa.eu/info/sites/default/files/factsheet-malta_en_0.pdf|en</t>
  </si>
  <si>
    <t>https://ec.europa.eu/info/sites/default/files/factsheet-malta_en_0.pdf</t>
  </si>
  <si>
    <t>Republic of the Marshall Islands Joint National Action Plan for Climate Change Adaptation &amp; Disaster Risk Management 2014 - 2018</t>
  </si>
  <si>
    <t>Marshall Islands</t>
  </si>
  <si>
    <t>MHL</t>
  </si>
  <si>
    <t>https://pafpnet.spc.int/attachments/article/782/RMI-JNAP-CCA-DRM-2014-18.pdf|en</t>
  </si>
  <si>
    <t>https://pafpnet.spc.int/attachments/article/782/RMI-JNAP-CCA-DRM-2014-18.pdf</t>
  </si>
  <si>
    <t>http://www.lse.ac.uk/GranthamInstitute/wp-content/uploads/2018/03/MHL-marshall-adaptation-RMI-JNAP-CCA-DRM-2014-18.pdf|en</t>
  </si>
  <si>
    <t>http://www.lse.ac.uk/GranthamInstitute/wp-content/uploads/2018/03/MHL-marshall-adaptation-RMI-JNAP-CCA-DRM-2014-18.pdf</t>
  </si>
  <si>
    <t>Budget Speech 2019-2020</t>
  </si>
  <si>
    <t>Mauritius</t>
  </si>
  <si>
    <t>MUS</t>
  </si>
  <si>
    <t>http://www.tourismauthority.mu/download/82.pdf|en</t>
  </si>
  <si>
    <t>http://www.tourismauthority.mu/download/82.pdf</t>
  </si>
  <si>
    <t>THREE YEAR STRATEGIC PLAN 2018/19 - 2020/21</t>
  </si>
  <si>
    <t>https://mof.govmu.org/Documents/Documents/Budget%202018-2019/Three%20Year%20Strategic%20Plan%20201819-202021.pdf|en</t>
  </si>
  <si>
    <t>https://mof.govmu.org/Documents/Documents/Budget%202018-2019/Three%20Year%20Strategic%20Plan%20201819-202021.pdf</t>
  </si>
  <si>
    <t>FINANCE (MISCELLANEOUS PROVISIONS) ACT 2021</t>
  </si>
  <si>
    <t>https://mof.govmu.org/Documents/2021/Finance%20%28Miscellaneous%20Provisions%29%20Act%202021.pdf|en</t>
  </si>
  <si>
    <t>https://mof.govmu.org/Documents/2021/Finance%20%28Miscellaneous%20Provisions%29%20Act%202021.pdf</t>
  </si>
  <si>
    <t>Budget Speech 2021-2022</t>
  </si>
  <si>
    <t>https://budgetmof.govmu.org/Documents/2021_22budgetspeech_english.pdf|en</t>
  </si>
  <si>
    <t>https://budgetmof.govmu.org/Documents/2021_22budgetspeech_english.pdf</t>
  </si>
  <si>
    <t>DECRETO por el que se reforman y adicionan diversas disposiciones de la Constitución Política de los Estados Unidos Mexicanos, en Materia de Energía</t>
  </si>
  <si>
    <t>Mexico</t>
  </si>
  <si>
    <t>MEX</t>
  </si>
  <si>
    <t>https://climate-laws.org/rails/active_storage/blobs/eyJfcmFpbHMiOnsibWVzc2FnZSI6IkJBaHBBbHdKIiwiZXhwIjpudWxsLCJwdXIiOiJibG9iX2lkIn19--807cfb8ccbe78912ff9d3870ca98dd38a4a0e5dc/f|</t>
  </si>
  <si>
    <t>https://climate-laws.org/rails/active_storage/blobs/eyJfcmFpbHMiOnsibWVzc2FnZSI6IkJBaHBBbHdKIiwiZXhwIjpudWxsLCJwdXIiOiJibG9iX2lkIn19--807cfb8ccbe78912ff9d3870ca98dd38a4a0e5dc/f</t>
  </si>
  <si>
    <t>Reforma Energética</t>
  </si>
  <si>
    <t>http://www.lse.ac.uk/GranthamInstitute/wp-content/uploads/laws/1447%20explanation.pdf|es</t>
  </si>
  <si>
    <t>http://www.lse.ac.uk/GranthamInstitute/wp-content/uploads/laws/1447%20explanation.pdf</t>
  </si>
  <si>
    <t>General Law on Climate Change</t>
  </si>
  <si>
    <t>https://climate-laws.org/rails/active_storage/blobs/eyJfcmFpbHMiOnsibWVzc2FnZSI6IkJBaHBBcDBIIiwiZXhwIjpudWxsLCJwdXIiOiJibG9iX2lkIn19--28aff036b72371f33dddeb4ef4eb690102917481/f|en</t>
  </si>
  <si>
    <t>https://climate-laws.org/rails/active_storage/blobs/eyJfcmFpbHMiOnsibWVzc2FnZSI6IkJBaHBBcDBIIiwiZXhwIjpudWxsLCJwdXIiOiJibG9iX2lkIn19--28aff036b72371f33dddeb4ef4eb690102917481/f</t>
  </si>
  <si>
    <t>DECRETO por el que se reforman y adicionan diversas disposiciones de la Ley General de Cambio Climático.</t>
  </si>
  <si>
    <t>https://climate-laws.org/rails/active_storage/blobs/eyJfcmFpbHMiOnsibWVzc2FnZSI6IkJBaHBBcDRIIiwiZXhwIjpudWxsLCJwdXIiOiJibG9iX2lkIn19--27e59ed40141edb2e4a0be2cb71678845f587a0f/f|es</t>
  </si>
  <si>
    <t>https://climate-laws.org/rails/active_storage/blobs/eyJfcmFpbHMiOnsibWVzc2FnZSI6IkJBaHBBcDRIIiwiZXhwIjpudWxsLCJwdXIiOiJibG9iX2lkIn19--27e59ed40141edb2e4a0be2cb71678845f587a0f/f</t>
  </si>
  <si>
    <t>LEY GENERAL DE CAMBIO CLIMÁTICO</t>
  </si>
  <si>
    <t>http://www.diputados.gob.mx/LeyesBiblio/pdf/LGCC_061120.pdf|es</t>
  </si>
  <si>
    <t>http://www.diputados.gob.mx/LeyesBiblio/pdf/LGCC_061120.pdf</t>
  </si>
  <si>
    <t>Estrategia de Transición para Promover el Uso de Tecnologías y Combustibles Más Limpios</t>
  </si>
  <si>
    <t>https://climate-laws.org/rails/active_storage/blobs/eyJfcmFpbHMiOnsibWVzc2FnZSI6IkJBaHBBa01HIiwiZXhwIjpudWxsLCJwdXIiOiJibG9iX2lkIn19--21cfc44dadb0ce6cdca00d4d1abbc51b72b1d556/f|es</t>
  </si>
  <si>
    <t>https://climate-laws.org/rails/active_storage/blobs/eyJfcmFpbHMiOnsibWVzc2FnZSI6IkJBaHBBa01HIiwiZXhwIjpudWxsLCJwdXIiOiJibG9iX2lkIn19--21cfc44dadb0ce6cdca00d4d1abbc51b72b1d556/f</t>
  </si>
  <si>
    <t>ACUERDO por el que la Secretaría de Energía aprueba y publica la actualización de la Estrategia de Transición para Promover el Uso de Tecnologías y Combustibles más Limpios, en términos de la Ley de Transición Energética.</t>
  </si>
  <si>
    <t>https://www.dof.gob.mx/nota_detalle.php?codigo=5585823&amp;fecha=07/02/2020|es</t>
  </si>
  <si>
    <t>https://www.dof.gob.mx/nota_detalle.php?codigo=5585823&amp;fecha=07/02/2020</t>
  </si>
  <si>
    <t>DECRETO por el que se expiden la Ley de la Industria Eléctrica, la Ley de Energía Geotérmica y se adicionan y reforman diversas disposiciones de la Ley de Aguas Nacionales</t>
  </si>
  <si>
    <t>http://extwprlegs1.fao.org/docs/pdf/mex138547.pdf|</t>
  </si>
  <si>
    <t>http://extwprlegs1.fao.org/docs/pdf/mex138547.pdf</t>
  </si>
  <si>
    <t>https://climate-laws.org/rails/active_storage/blobs/eyJfcmFpbHMiOnsibWVzc2FnZSI6IkJBaHBBaFVHIiwiZXhwIjpudWxsLCJwdXIiOiJibG9iX2lkIn19--28d0f1e80b708d2c376b257abd7f16cb5df70172/c|</t>
  </si>
  <si>
    <t>https://climate-laws.org/rails/active_storage/blobs/eyJfcmFpbHMiOnsibWVzc2FnZSI6IkJBaHBBaFVHIiwiZXhwIjpudWxsLCJwdXIiOiJibG9iX2lkIn19--28d0f1e80b708d2c376b257abd7f16cb5df70172/c</t>
  </si>
  <si>
    <t>application/msword</t>
  </si>
  <si>
    <t>DECRETO por el que se expiden la Ley de la Industria Eléctrica, la Ley de Energía Geotérmica y se adicionan y reforman diversas disposiciones de la Ley de Aguas Nacionales.</t>
  </si>
  <si>
    <t>https://www.gob.mx/sener/documentos/ley-de-la-industria-electrica-y-la-ley-de-energia-geotermica|</t>
  </si>
  <si>
    <t>https://www.gob.mx/sener/documentos/ley-de-la-industria-electrica-y-la-ley-de-energia-geotermica</t>
  </si>
  <si>
    <t>2012 Energy Policy</t>
  </si>
  <si>
    <t>Micronesia</t>
  </si>
  <si>
    <t>FSM</t>
  </si>
  <si>
    <t>https://climate-laws.org/rails/active_storage/blobs/eyJfcmFpbHMiOnsibWVzc2FnZSI6IkJBaHBBbFFKIiwiZXhwIjpudWxsLCJwdXIiOiJibG9iX2lkIn19--743b0142f3c4ec3e05f2d80711c8bb092be72334/f|</t>
  </si>
  <si>
    <t>https://climate-laws.org/rails/active_storage/blobs/eyJfcmFpbHMiOnsibWVzc2FnZSI6IkJBaHBBbFFKIiwiZXhwIjpudWxsLCJwdXIiOiJibG9iX2lkIn19--743b0142f3c4ec3e05f2d80711c8bb092be72334/f</t>
  </si>
  <si>
    <t>National &amp; State Energy Action Plans</t>
  </si>
  <si>
    <t>https://climate-laws.org/rails/active_storage/blobs/eyJfcmFpbHMiOnsibWVzc2FnZSI6IkJBaHBBbFVKIiwiZXhwIjpudWxsLCJwdXIiOiJibG9iX2lkIn19--6e6ea73ff2b717d059b3b8b71a3563196fba1afc/f|</t>
  </si>
  <si>
    <t>https://climate-laws.org/rails/active_storage/blobs/eyJfcmFpbHMiOnsibWVzc2FnZSI6IkJBaHBBbFVKIiwiZXhwIjpudWxsLCJwdXIiOiJibG9iX2lkIn19--6e6ea73ff2b717d059b3b8b71a3563196fba1afc/f</t>
  </si>
  <si>
    <t>LEGE privind promovarea utilizării energiei din surse regenerabile</t>
  </si>
  <si>
    <t>Moldova</t>
  </si>
  <si>
    <t>MDA</t>
  </si>
  <si>
    <t>Romanian</t>
  </si>
  <si>
    <t>http://lex.justice.md/md/363886/|ro</t>
  </si>
  <si>
    <t>http://lex.justice.md/md/363886/</t>
  </si>
  <si>
    <t>Law on promoting the use of energy from renewable sources</t>
  </si>
  <si>
    <t>https://www.google.com/url?sa=t&amp;rct=j&amp;q=&amp;esrc=s&amp;source=web&amp;cd=&amp;ved=2ahUKEwjJkJeW1rfwAhWrRRUIHeUVDPwQFjAAegQIAhAD&amp;url=https%3A%2F%2Fwww.energy-community.org%2Fdam%2Fjcr%3Aa282e2ac-b8d4-46b9-8784-1c680f6abc0c%2FMC2017_Annex18g.pdf&amp;usg=AOvVaw0zZzDGi-xTkLM1Ncht78Zl|en</t>
  </si>
  <si>
    <t>https://www.google.com/url?sa=t&amp;rct=j&amp;q=&amp;esrc=s&amp;source=web&amp;cd=&amp;ved=2ahUKEwjJkJeW1rfwAhWrRRUIHeUVDPwQFjAAegQIAhAD&amp;url=https%3A%2F%2Fwww.energy-community.org%2Fdam%2Fjcr%3Aa282e2ac-b8d4-46b9-8784-1c680f6abc0c%2FMC2017_Annex18g.pdf&amp;usg=AOvVaw0zZzDGi-xTkLM1Ncht78Zl</t>
  </si>
  <si>
    <t>text/html; charset=ISO-8859-1</t>
  </si>
  <si>
    <t>Loi n° 1.456 du 12 décembre 2017 portant Code de l'environnement.</t>
  </si>
  <si>
    <t>Monaco</t>
  </si>
  <si>
    <t>MCO</t>
  </si>
  <si>
    <t>http://journaldemonaco.gouv.mc/Journaux/2017/Journal-8361/Loi-n-1.456-du-12-decembre-2017-portant-Code-de-l-environnement|fr</t>
  </si>
  <si>
    <t>http://journaldemonaco.gouv.mc/Journaux/2017/Journal-8361/Loi-n-1.456-du-12-decembre-2017-portant-Code-de-l-environnement</t>
  </si>
  <si>
    <t>Loi n° 1.456 du 12 décembre 2017 portant Code de l’environnement</t>
  </si>
  <si>
    <t>https://climate-laws.org/rails/active_storage/blobs/eyJfcmFpbHMiOnsibWVzc2FnZSI6IkJBaHBBbTBLIiwiZXhwIjpudWxsLCJwdXIiOiJibG9iX2lkIn19--41284ea637f6f258c302071e352756d695962eaf/MCO-environmental-code-JO-8.361_22-dcbr-2017.pdf|fr</t>
  </si>
  <si>
    <t>https://climate-laws.org/rails/active_storage/blobs/eyJfcmFpbHMiOnsibWVzc2FnZSI6IkJBaHBBbTBLIiwiZXhwIjpudWxsLCJwdXIiOiJibG9iX2lkIn19--41284ea637f6f258c302071e352756d695962eaf/MCO-environmental-code-JO-8.361_22-dcbr-2017.pdf</t>
  </si>
  <si>
    <t>МОНГОЛ УЛСЫН ХУУЛЬ ОЙН ТУХАЙ /Шинэчилсэн найруулга/</t>
  </si>
  <si>
    <t>Law on Forests</t>
  </si>
  <si>
    <t>Mongolia</t>
  </si>
  <si>
    <t>MNG</t>
  </si>
  <si>
    <t>Mongolian</t>
  </si>
  <si>
    <t>http://www.lse.ac.uk/GranthamInstitute/wp-content/uploads/laws/1462%20Mongolian.pdf|mn</t>
  </si>
  <si>
    <t>http://www.lse.ac.uk/GranthamInstitute/wp-content/uploads/laws/1462%20Mongolian.pdf</t>
  </si>
  <si>
    <t>https://climate-laws.org/rails/active_storage/blobs/eyJfcmFpbHMiOnsibWVzc2FnZSI6IkJBaHBBcFVLIiwiZXhwIjpudWxsLCJwdXIiOiJibG9iX2lkIn19--dda0ca06383c4d0db4db0d1df01881948bb53fed/1462%20English.pdf|en</t>
  </si>
  <si>
    <t>https://climate-laws.org/rails/active_storage/blobs/eyJfcmFpbHMiOnsibWVzc2FnZSI6IkJBaHBBcFVLIiwiZXhwIjpudWxsLCJwdXIiOiJibG9iX2lkIn19--dda0ca06383c4d0db4db0d1df01881948bb53fed/1462%20English.pdf</t>
  </si>
  <si>
    <t>ХУУЛЬ ОЙН СЭРГЭЭГДЭХ ЭРЧИМ ХҮЧНИЙ ТУХАЙ</t>
  </si>
  <si>
    <t>Law on Renewable Energy</t>
  </si>
  <si>
    <t>https://climate-laws.org/rails/active_storage/blobs/eyJfcmFpbHMiOnsibWVzc2FnZSI6IkJBaHBBcFlLIiwiZXhwIjpudWxsLCJwdXIiOiJibG9iX2lkIn19--a6946b33a781debb9018f62d3638e24d4e8e44e9/1464%20Mongolian.pdf|mn</t>
  </si>
  <si>
    <t>https://climate-laws.org/rails/active_storage/blobs/eyJfcmFpbHMiOnsibWVzc2FnZSI6IkJBaHBBcFlLIiwiZXhwIjpudWxsLCJwdXIiOiJibG9iX2lkIn19--a6946b33a781debb9018f62d3638e24d4e8e44e9/1464%20Mongolian.pdf</t>
  </si>
  <si>
    <t>https://climate-laws.org/rails/active_storage/blobs/eyJfcmFpbHMiOnsibWVzc2FnZSI6IkJBaHBBcGNLIiwiZXhwIjpudWxsLCJwdXIiOiJibG9iX2lkIn19--1d238d04a2a178c6b3e968fa4d03bf7cdb89dd73/1464%20English.pdf|en</t>
  </si>
  <si>
    <t>https://climate-laws.org/rails/active_storage/blobs/eyJfcmFpbHMiOnsibWVzc2FnZSI6IkJBaHBBcGNLIiwiZXhwIjpudWxsLCJwdXIiOiJibG9iX2lkIn19--1d238d04a2a178c6b3e968fa4d03bf7cdb89dd73/1464%20English.pdf</t>
  </si>
  <si>
    <t>Law on Disaster Protection</t>
  </si>
  <si>
    <t>http://www.lse.ac.uk/GranthamInstitute/wp-content/uploads/laws/1466%20English.pdf|en</t>
  </si>
  <si>
    <t>http://www.lse.ac.uk/GranthamInstitute/wp-content/uploads/laws/1466%20English.pdf</t>
  </si>
  <si>
    <t>ХУУЛЬ ОЙН ГАМШГААС ХАМГААЛАХ ТУХАЙ</t>
  </si>
  <si>
    <t>https://climate-laws.org/rails/active_storage/blobs/eyJfcmFpbHMiOnsibWVzc2FnZSI6IkJBaHBBcGdLIiwiZXhwIjpudWxsLCJwdXIiOiJibG9iX2lkIn19--6f45d5f05f7920addf332013e58234f2248878d9/1466%20Mongolian.pdf|mn</t>
  </si>
  <si>
    <t>https://climate-laws.org/rails/active_storage/blobs/eyJfcmFpbHMiOnsibWVzc2FnZSI6IkJBaHBBcGdLIiwiZXhwIjpudWxsLCJwdXIiOiJibG9iX2lkIn19--6f45d5f05f7920addf332013e58234f2248878d9/1466%20Mongolian.pdf</t>
  </si>
  <si>
    <t>Эрчим хүчний тухай хууль</t>
  </si>
  <si>
    <t>Law on Energy</t>
  </si>
  <si>
    <t>https://climate-laws.org/rails/active_storage/blobs/eyJfcmFpbHMiOnsibWVzc2FnZSI6IkJBaHBBcGtLIiwiZXhwIjpudWxsLCJwdXIiOiJibG9iX2lkIn19--54af3eb84af5a1da0ded37619f7c31e261500d8f/1468%20Mongolian.pdf|mn</t>
  </si>
  <si>
    <t>https://climate-laws.org/rails/active_storage/blobs/eyJfcmFpbHMiOnsibWVzc2FnZSI6IkJBaHBBcGtLIiwiZXhwIjpudWxsLCJwdXIiOiJibG9iX2lkIn19--54af3eb84af5a1da0ded37619f7c31e261500d8f/1468%20Mongolian.pdf</t>
  </si>
  <si>
    <t>https://climate-laws.org/rails/active_storage/blobs/eyJfcmFpbHMiOnsibWVzc2FnZSI6IkJBaHBBcG9LIiwiZXhwIjpudWxsLCJwdXIiOiJibG9iX2lkIn19--c861ec3a8f784f8edb184382e8ff9c8730ed473e/1468%20English.pdf|en</t>
  </si>
  <si>
    <t>https://climate-laws.org/rails/active_storage/blobs/eyJfcmFpbHMiOnsibWVzc2FnZSI6IkJBaHBBcG9LIiwiZXhwIjpudWxsLCJwdXIiOiJibG9iX2lkIn19--c861ec3a8f784f8edb184382e8ff9c8730ed473e/1468%20English.pdf</t>
  </si>
  <si>
    <t>State Policy on Energy 2015-2030</t>
  </si>
  <si>
    <t>https://policy.asiapacificenergy.org/sites/default/files/State%20Policy%20on%20Energy%202015-2030%20%28MN%29.pdf|mn</t>
  </si>
  <si>
    <t>https://policy.asiapacificenergy.org/sites/default/files/State%20Policy%20on%20Energy%202015-2030%20%28MN%29.pdf</t>
  </si>
  <si>
    <t>RESOLUTION ON ADOPTION OF STATE POLICY ON ENERGY</t>
  </si>
  <si>
    <t>https://rise.esmap.org/data/files/library/mongolia/Energy%20Policy%20document_english.pdf|en</t>
  </si>
  <si>
    <t>https://rise.esmap.org/data/files/library/mongolia/Energy%20Policy%20document_english.pdf</t>
  </si>
  <si>
    <t>Loi elative à l’Agence nationale pour le développement des énergies renouvelables et de l’efficacité énergétique</t>
  </si>
  <si>
    <t>Morocco</t>
  </si>
  <si>
    <t>MAR</t>
  </si>
  <si>
    <t>https://climate-laws.org/rails/active_storage/blobs/eyJfcmFpbHMiOnsibWVzc2FnZSI6IkJBaHBBa3dKIiwiZXhwIjpudWxsLCJwdXIiOiJibG9iX2lkIn19--020d6df120b656310e869728ceaaac37a08d4b14/f|</t>
  </si>
  <si>
    <t>https://climate-laws.org/rails/active_storage/blobs/eyJfcmFpbHMiOnsibWVzc2FnZSI6IkJBaHBBa3dKIiwiZXhwIjpudWxsLCJwdXIiOiJibG9iX2lkIn19--020d6df120b656310e869728ceaaac37a08d4b14/f</t>
  </si>
  <si>
    <t>Loi n° 39-16 portant modification de la loi n' 16-09 relathre aI'Agence nationale pour Ie developpement des energies renouvelables et de l'efficacite energetique</t>
  </si>
  <si>
    <t>https://climate-laws.org/rails/active_storage/blobs/eyJfcmFpbHMiOnsibWVzc2FnZSI6IkJBaHBBazBKIiwiZXhwIjpudWxsLCJwdXIiOiJibG9iX2lkIn19--686c3eb7f4b56c0f871089e53243f0f029919bdb/f|</t>
  </si>
  <si>
    <t>https://climate-laws.org/rails/active_storage/blobs/eyJfcmFpbHMiOnsibWVzc2FnZSI6IkJBaHBBazBKIiwiZXhwIjpudWxsLCJwdXIiOiJibG9iX2lkIn19--686c3eb7f4b56c0f871089e53243f0f029919bdb/f</t>
  </si>
  <si>
    <t>Loi relative aux énergies renouvelables</t>
  </si>
  <si>
    <t>https://climate-laws.org/rails/active_storage/blobs/eyJfcmFpbHMiOnsibWVzc2FnZSI6IkJBaHBBaE1JIiwiZXhwIjpudWxsLCJwdXIiOiJibG9iX2lkIn19--ba0c0e366a69fdda323a979163b17d7c5abf67d2/f|</t>
  </si>
  <si>
    <t>https://climate-laws.org/rails/active_storage/blobs/eyJfcmFpbHMiOnsibWVzc2FnZSI6IkJBaHBBaE1JIiwiZXhwIjpudWxsLCJwdXIiOiJibG9iX2lkIn19--ba0c0e366a69fdda323a979163b17d7c5abf67d2/f</t>
  </si>
  <si>
    <t>Loi modifiant et complétant la loi no 13-09 relative aux énergies renouvelables</t>
  </si>
  <si>
    <t>https://autetouan.ma/web/uploads/dossier/5abcc46b5df93.pdf|fr</t>
  </si>
  <si>
    <t>https://autetouan.ma/web/uploads/dossier/5abcc46b5df93.pdf</t>
  </si>
  <si>
    <t>Draft decree establishing the Strategic Committee for Sustainable Development</t>
  </si>
  <si>
    <t>https://climate-laws.org/rails/active_storage/blobs/eyJfcmFpbHMiOnsibWVzc2FnZSI6IkJBaHBBcmNIIiwiZXhwIjpudWxsLCJwdXIiOiJibG9iX2lkIn19--2691d1e6f6e825774c91f0d1d58af7b5a97a77ff/f|ar</t>
  </si>
  <si>
    <t>https://climate-laws.org/rails/active_storage/blobs/eyJfcmFpbHMiOnsibWVzc2FnZSI6IkJBaHBBcmNIIiwiZXhwIjpudWxsLCJwdXIiOiJibG9iX2lkIn19--2691d1e6f6e825774c91f0d1d58af7b5a97a77ff/f</t>
  </si>
  <si>
    <t>Decree No. 2.19.452 organized by the National Committee for Sustainable Development</t>
  </si>
  <si>
    <t>https://climate-laws.org/rails/active_storage/blobs/eyJfcmFpbHMiOnsibWVzc2FnZSI6IkJBaHBBZ3dNIiwiZXhwIjpudWxsLCJwdXIiOiJibG9iX2lkIn19--9ea2351a4884f4a6dce974c5246ff807079115d2/decree%20moroc%20jun19.pdf|ar</t>
  </si>
  <si>
    <t>https://climate-laws.org/rails/active_storage/blobs/eyJfcmFpbHMiOnsibWVzc2FnZSI6IkJBaHBBZ3dNIiwiZXhwIjpudWxsLCJwdXIiOiJibG9iX2lkIn19--9ea2351a4884f4a6dce974c5246ff807079115d2/decree%20moroc%20jun19.pdf</t>
  </si>
  <si>
    <t>RENEWABLE ENERGY FEED-IN TARIFF RULES</t>
  </si>
  <si>
    <t>Namibia</t>
  </si>
  <si>
    <t>NAM</t>
  </si>
  <si>
    <t>https://climate-laws.org/rails/active_storage/blobs/eyJfcmFpbHMiOnsibWVzc2FnZSI6IkJBaHBBdnNHIiwiZXhwIjpudWxsLCJwdXIiOiJibG9iX2lkIn19--594a3c5b0a45a5af61eafc465c0e2107c7316601/f|</t>
  </si>
  <si>
    <t>https://climate-laws.org/rails/active_storage/blobs/eyJfcmFpbHMiOnsibWVzc2FnZSI6IkJBaHBBdnNHIiwiZXhwIjpudWxsLCJwdXIiOiJibG9iX2lkIn19--594a3c5b0a45a5af61eafc465c0e2107c7316601/f</t>
  </si>
  <si>
    <t>Update on the Current Power Supply Situation and Progress Made on NamPower Projects and Initiatives to Ensure Security of Supply in Namibia</t>
  </si>
  <si>
    <t>https://climate-laws.org/rails/active_storage/blobs/eyJfcmFpbHMiOnsibWVzc2FnZSI6IkJBaHBBdndHIiwiZXhwIjpudWxsLCJwdXIiOiJibG9iX2lkIn19--06756144a1e9cc890e26f061daccff0825483650/f|</t>
  </si>
  <si>
    <t>https://climate-laws.org/rails/active_storage/blobs/eyJfcmFpbHMiOnsibWVzc2FnZSI6IkJBaHBBdndHIiwiZXhwIjpudWxsLCJwdXIiOiJibG9iX2lkIn19--06756144a1e9cc890e26f061daccff0825483650/f</t>
  </si>
  <si>
    <t>NAMIBIA RENEWABLE ENERGY FEED-IN TARIFF (REFIT) PROGRAMME Portal</t>
  </si>
  <si>
    <t>https://www.nampower.com.na/refit/|</t>
  </si>
  <si>
    <t>https://www.nampower.com.na/refit/</t>
  </si>
  <si>
    <t>Nauru Energy Road Map 2014 – 2020 - An Implementation Plan for Energy Sector Development</t>
  </si>
  <si>
    <t>Nauru</t>
  </si>
  <si>
    <t>NRU</t>
  </si>
  <si>
    <t>Roadmap</t>
  </si>
  <si>
    <t>https://climate-laws.org/rails/active_storage/blobs/eyJfcmFpbHMiOnsibWVzc2FnZSI6IkJBaHBBdmdHIiwiZXhwIjpudWxsLCJwdXIiOiJibG9iX2lkIn19--f909db71aa137af56d197216ab1b5bf62637bebd/f|en</t>
  </si>
  <si>
    <t>https://climate-laws.org/rails/active_storage/blobs/eyJfcmFpbHMiOnsibWVzc2FnZSI6IkJBaHBBdmdHIiwiZXhwIjpudWxsLCJwdXIiOiJibG9iX2lkIn19--f909db71aa137af56d197216ab1b5bf62637bebd/f</t>
  </si>
  <si>
    <t>Nauru Energy Roadmap 2018-2020</t>
  </si>
  <si>
    <t>https://climate-laws.org/rails/active_storage/blobs/eyJfcmFpbHMiOnsibWVzc2FnZSI6IkJBaHBBdEFNIiwiZXhwIjpudWxsLCJwdXIiOiJibG9iX2lkIn19--3863f464e67fbfb9134922684b42912b1deb2411/Nauru%20Energy%20Roadmap%202018-2020_final.pdf|en</t>
  </si>
  <si>
    <t>https://climate-laws.org/rails/active_storage/blobs/eyJfcmFpbHMiOnsibWVzc2FnZSI6IkJBaHBBdEFNIiwiZXhwIjpudWxsLCJwdXIiOiJibG9iX2lkIn19--3863f464e67fbfb9134922684b42912b1deb2411/Nauru%20Energy%20Roadmap%202018-2020_final.pdf</t>
  </si>
  <si>
    <t>ENVIRONMENTAL MANAGEMENT AND CLIMATE CHANGE ACT 2020</t>
  </si>
  <si>
    <t>http://ronlaw.gov.nr/nauru_lpms/files/acts/e4673599db6462c935fecb84cae487b0.pdf|en</t>
  </si>
  <si>
    <t>http://ronlaw.gov.nr/nauru_lpms/files/acts/e4673599db6462c935fecb84cae487b0.pdf</t>
  </si>
  <si>
    <t>ENVIRONMENTAL MANAGEMENT AND CLIMATE CHANGE (NOTICES) REGULATIONS 2021</t>
  </si>
  <si>
    <t>http://ronlaw.gov.nr/nauru_lpms/files/subordinate_legislation/d2e7e07941f32cd881f1611d479df8a4.pdf|en</t>
  </si>
  <si>
    <t>http://ronlaw.gov.nr/nauru_lpms/files/subordinate_legislation/d2e7e07941f32cd881f1611d479df8a4.pdf</t>
  </si>
  <si>
    <t>Environmental Management and Climate Change (Ban on Single Use Plastic Shopping Bags) Regulations 2021</t>
  </si>
  <si>
    <t>http://ronlaw.gov.nr/nauru_lpms/files/subordinate_legislation/aab912643572c84083c256fa0857809b.pdf|en</t>
  </si>
  <si>
    <t>http://ronlaw.gov.nr/nauru_lpms/files/subordinate_legislation/aab912643572c84083c256fa0857809b.pdf</t>
  </si>
  <si>
    <t>Forest Act</t>
  </si>
  <si>
    <t>Nepal</t>
  </si>
  <si>
    <t>NPL</t>
  </si>
  <si>
    <t>https://climate-laws.org/rails/active_storage/blobs/eyJfcmFpbHMiOnsibWVzc2FnZSI6IkJBaHBBcjBNIiwiZXhwIjpudWxsLCJwdXIiOiJibG9iX2lkIn19--25a2f240a09696fd2d7832b1d04c890e8157d8e9/1993%20Forest%20Act%201993_English.pdf|en</t>
  </si>
  <si>
    <t>https://climate-laws.org/rails/active_storage/blobs/eyJfcmFpbHMiOnsibWVzc2FnZSI6IkJBaHBBcjBNIiwiZXhwIjpudWxsLCJwdXIiOiJibG9iX2lkIn19--25a2f240a09696fd2d7832b1d04c890e8157d8e9/1993%20Forest%20Act%201993_English.pdf</t>
  </si>
  <si>
    <t>Amendment to the Forest Act</t>
  </si>
  <si>
    <t>Nepali (macrolanguage)</t>
  </si>
  <si>
    <t>https://climate-laws.org/rails/active_storage/blobs/eyJfcmFpbHMiOnsibWVzc2FnZSI6IkJBaHBBcjRNIiwiZXhwIjpudWxsLCJwdXIiOiJibG9iX2lkIn19--eff933e4fe7354b8990719a5bbd493ac24fa3e22/1993%20Forest%20Act%201993.pdf|ne</t>
  </si>
  <si>
    <t>https://climate-laws.org/rails/active_storage/blobs/eyJfcmFpbHMiOnsibWVzc2FnZSI6IkJBaHBBcjRNIiwiZXhwIjpudWxsLCJwdXIiOiJibG9iX2lkIn19--eff933e4fe7354b8990719a5bbd493ac24fa3e22/1993%20Forest%20Act%201993.pdf</t>
  </si>
  <si>
    <t>The Forests Act, 2019</t>
  </si>
  <si>
    <t>https://climate-laws.org/rails/active_storage/blobs/eyJfcmFpbHMiOnsibWVzc2FnZSI6IkJBaHBBak1OIiwiZXhwIjpudWxsLCJwdXIiOiJibG9iX2lkIn19--9973bb3b7c665cb72f12c4dce5de19547504dbd9/20191014_074-WO-0283_na.pdf|en</t>
  </si>
  <si>
    <t>https://climate-laws.org/rails/active_storage/blobs/eyJfcmFpbHMiOnsibWVzc2FnZSI6IkJBaHBBak1OIiwiZXhwIjpudWxsLCJwdXIiOiJibG9iX2lkIn19--9973bb3b7c665cb72f12c4dce5de19547504dbd9/20191014_074-WO-0283_na.pdf</t>
  </si>
  <si>
    <t>English Title</t>
  </si>
  <si>
    <t>National Sustainable Development Strategy for the Kyrgyz Republic</t>
  </si>
  <si>
    <t>Disaster Risk Management</t>
  </si>
  <si>
    <t>Agriculture;Energy;Health;Industry;Water</t>
  </si>
  <si>
    <t>25/12/2013|Law passed</t>
  </si>
  <si>
    <t>https://climate-laws.org/rails/active_storage/blobs/eyJfcmFpbHMiOnsibWVzc2FnZSI6IkJBaHBBc3NIIiwiZXhwIjpudWxsLCJwdXIiOiJibG9iX2lkIn19--1237ef1b5a48161bd68049b75349f97f672b7a63/f|en</t>
  </si>
  <si>
    <t>https://climate-laws.org/rails/active_storage/blobs/eyJfcmFpbHMiOnsibWVzc2FnZSI6IkJBaHBBc3dIIiwiZXhwIjpudWxsLCJwdXIiOiJibG9iX2lkIn19--48c62714f6bc49058625fe7843ff9293e12de842/f|ru</t>
  </si>
  <si>
    <t>Climate Change Adaptation Programme and Action Plan for 2015-2017 for the Forest and Biodiversity Sector</t>
  </si>
  <si>
    <t>Adaptation;Redd+ And Lulucf</t>
  </si>
  <si>
    <t>Economy-wide;LULUCF</t>
  </si>
  <si>
    <t>25/12/2015|Law passed||</t>
  </si>
  <si>
    <t>https://climate-laws.org/rails/active_storage/blobs/eyJfcmFpbHMiOnsibWVzc2FnZSI6IkJBaHBBZ0FLIiwiZXhwIjpudWxsLCJwdXIiOiJibG9iX2lkIn19--a87b302ef5af0f5e072c0503281462c00b99761d/f|en</t>
  </si>
  <si>
    <t>https://climate-laws.org/rails/active_storage/blobs/eyJfcmFpbHMiOnsibWVzc2FnZSI6IkJBaHBBZ0VLIiwiZXhwIjpudWxsLCJwdXIiOiJibG9iX2lkIn19--bcb50920b8e32f37c3c2b2de2b36895b85980ed7/f|ru</t>
  </si>
  <si>
    <t>Law no. 137 'On the energy efficiency of buildings'</t>
  </si>
  <si>
    <t>MRV|Governance</t>
  </si>
  <si>
    <t>27/06/2011|Law passed</t>
  </si>
  <si>
    <t>Full text - English|https://climate-laws.org/rails/active_storage/blobs/eyJfcmFpbHMiOnsibWVzc2FnZSI6IkJBaHBBdUlHIiwiZXhwIjpudWxsLCJwdXIiOiJibG9iX2lkIn19--d35e6f6d7354cffa89cea6da3bb70496c37cb331/f|;Full text - Russian|https://climate-laws.org/rails/active_storage/blobs/eyJfcmFpbHMiOnsibWVzc2FnZSI6IkJBaHBBdU1HIiwiZXhwIjpudWxsLCJwdXIiOiJibG9iX2lkIn19--e96a99b34988c29443824c73bb8fb19469366e44/f|</t>
  </si>
  <si>
    <t>Program and strategy of the Kyrgyz Republic on Transition to Sustainable Development for 2013-2017</t>
  </si>
  <si>
    <t>Programme;Strategy</t>
  </si>
  <si>
    <t>13/04/2013|approved||</t>
  </si>
  <si>
    <t>Full text on official website|http://cbd.minjust.gov.kg/act/view/ru-ru/53067|ru;Full text of the plan|https://monitoring.edu.kg/wp-content/uploads/2013/09/sd_program_en.pdf|en;Full text of approving decree|http://cbd.minjust.gov.kg/act/view/ru-ru/53066?cl=ru-ru|ru;Full text of the strategy|https://www.un-page.org/files/public/kyrgyz_national_sustainable_development_strategy.pdf|en</t>
  </si>
  <si>
    <t>Presidential Decree 77/2021 on measures to ensure environmental safety and climate sustainability</t>
  </si>
  <si>
    <t>Standards, obligations and norms|Regulation;Provision of climate funds|Direct Investment;Nature based solutions and ecosystem restoration|Direct Investment;Capacity building|Governance;Institutional mandates|Governance;Processes, plans and strategies|Governance;MRV|Governance;Research &amp; Development, knowledge generation|Information</t>
  </si>
  <si>
    <t>Land Erosion</t>
  </si>
  <si>
    <t>Ev;Glaciers</t>
  </si>
  <si>
    <t>Agriculture;Health;Industry;Public Sector;Tourism;Transport;Waste;Water</t>
  </si>
  <si>
    <t>19/03/2021|Approved||</t>
  </si>
  <si>
    <t>Link to decree on official website|http://cbd.minjust.gov.kg/act/view/ru-ru/158278|ru;Alternative link|https://www.gov.kg/ru/npa/s/3116|ru;Link to Regulations on the State Committee on Ecology and Climate of the Kyrgyz Republic|http://cbd.minjust.gov.kg/act/view/ru-ru/158279?cl=ru-ru|ru</t>
  </si>
  <si>
    <t>Strategy for the Sustainable Development of the Industry of the Kyrgyz Republic for 2019-2023 and Action Plan</t>
  </si>
  <si>
    <t>Renewables;Technology</t>
  </si>
  <si>
    <t>Industry</t>
  </si>
  <si>
    <t>27/09/2019|Approved||</t>
  </si>
  <si>
    <t>Link to approving decree|http://cbd.minjust.gov.kg/act/view/ru-ru/157189|ru;Link to translation of the strategy on external website (PDF)|https://www.unido.org/sites/default/files/files/2020-04/KGZ%20IDS%202019-2023_unofficial%20English%20translation.pdf|en</t>
  </si>
  <si>
    <t>National Development Plan of Latvia for 2014-2020</t>
  </si>
  <si>
    <t>20/12/2012|Law passed</t>
  </si>
  <si>
    <t>Full text - 2010-2013 plan|https://climate-laws.org/rails/active_storage/blobs/eyJfcmFpbHMiOnsibWVzc2FnZSI6IkJBaHBBcThHIiwiZXhwIjpudWxsLCJwdXIiOiJibG9iX2lkIn19--70bc520cfba6948471c61a98453f6ecf5cd848d3/f|;Full text - 2014-2020 plan|https://climate-laws.org/rails/active_storage/blobs/eyJfcmFpbHMiOnsibWVzc2FnZSI6IkJBaHBBckFHIiwiZXhwIjpudWxsLCJwdXIiOiJibG9iX2lkIn19--84b51fba920d1a021f2fe698fcd7180d31fe26f4/f|</t>
  </si>
  <si>
    <t>Latvia’s Strategy to achieve climate neutrality by 2050</t>
  </si>
  <si>
    <t>Processes, plans and strategies|Governance;Education, training and knowledge dissemination|Information</t>
  </si>
  <si>
    <t>Research And Development;Net Zero</t>
  </si>
  <si>
    <t>Agriculture;Economy-wide;Energy;LULUCF;Transportation</t>
  </si>
  <si>
    <t>05/12/2019|Document released</t>
  </si>
  <si>
    <t>Legal document approving the strategy (Word)|https://climate-laws.org/rails/active_storage/blobs/eyJfcmFpbHMiOnsibWVzc2FnZSI6IkJBaHBBdGdMIiwiZXhwIjpudWxsLCJwdXIiOiJibG9iX2lkIn19--12ef7e5c41785d2da553fa30af28915a4b37ac30/VARAMProt_051219_KlimatStrat.2437.docx|lv;Link to full text (PDF)|http://www.zrea.lv/upload/attach/2%20Latvijas%20klimata%20neitralitates%20strategija%202050.pdf|lv;Link to official website|http://tap.mk.gov.lv/lv/mk/tap/?pid=40462398&amp;mode=mk&amp;date=2020-01-28|lv</t>
  </si>
  <si>
    <t>Latvia's National Energy and Climate Plan 2021-2030</t>
  </si>
  <si>
    <t>Standards, obligations and norms|Regulation;Capacity building|Governance;Processes, plans and strategies|Governance;Subnational and citizen participation|Governance;MRV|Governance</t>
  </si>
  <si>
    <t>Flood;Drought;Storm;Windstorms</t>
  </si>
  <si>
    <t>Waste;Buildings;Transportation;Transport;Green New Deal;Biofuels;Subsidies;Biogas;Agriculture;Tax Incentives</t>
  </si>
  <si>
    <t>Agriculture;Buildings;Economy-wide;Waste</t>
  </si>
  <si>
    <t>01/01/2020|Approved||</t>
  </si>
  <si>
    <t>Full text (PDF)|https://ec.europa.eu/energy/sites/ener/files/documents/lv_final_necp_main_en.pdf|en;Original version (PDF)|https://ec.europa.eu/energy/sites/ener/files/documents/lv_final_necp_main_lv.pdf|lv</t>
  </si>
  <si>
    <t>covid19;Energy Efficiency;active travel</t>
  </si>
  <si>
    <t>01/09/2021|Approved||</t>
  </si>
  <si>
    <t>Dedicated EC page|https://ec.europa.eu/info/business-economy-euro/recovery-coronavirus/recovery-and-resilience-facility/latvias-recovery-and-resilience-plan_en|en;Link to Council Implementing Decision and Annex|https://www.consilium.europa.eu/en/documents-publications/public-register/public-register-search/results/?WordsInSubject=&amp;WordsInText=&amp;DocumentNumber=10157%2F21&amp;InterinstitutionalFiles=&amp;DocumentDateFrom=&amp;DocumentDateTo=&amp;MeetingDateFrom=&amp;MeetingDateTo=&amp;DocumentLanguage=EN&amp;OrderBy=DOCUMENT_DATE+DESC&amp;ctl00%24ctl00%24cpMain%24cpMain%24btnSubmit=|en;Link to factsheet|https://ec.europa.eu/info/files/factsheet-latvias-recovery-and-resilience-plan_en|en;National website|https://www.esfondi.lv/normativie-akti-1|lv;Full text (PDF)|https://www.esfondi.lv/upload/anm/01_anm_plans_04062021.pdf|lv</t>
  </si>
  <si>
    <t>National Forest Program 2015-2025</t>
  </si>
  <si>
    <t>25/12/2015|Law passed</t>
  </si>
  <si>
    <t>full text (pdf)|http://extwprlegs1.fao.org/docs/pdf/leb163865.pdf|en;full text (pdf)|http://www.lse.ac.uk/GranthamInstitute/wp-content/uploads/2018/02/LBNforestprogram.pdf|en</t>
  </si>
  <si>
    <t>The National Renewable Energy Action Plan 2016-2020</t>
  </si>
  <si>
    <t>Energy;Waste;Water</t>
  </si>
  <si>
    <t>01/11/2016|Law passed</t>
  </si>
  <si>
    <t>full text|http://lcec.org.lb/Content/uploads/LCECOther/161214021429307~NREAP_DEC14.pdf|;full text|http://www.lse.ac.uk/GranthamInstitute/wp-content/uploads/2018/02/LBNNREAP_DEC14.pdf|</t>
  </si>
  <si>
    <t>Pro-poor agenda for prosperity and development</t>
  </si>
  <si>
    <t>Early warning systems|Direct Investment;Other|Direct Investment;Capacity building|Governance;Processes, plans and strategies|Governance;MRV|Governance;Education, training and knowledge dissemination|Information</t>
  </si>
  <si>
    <t>Renewables;Finance;Planning;Gender;Jobs</t>
  </si>
  <si>
    <t>Agriculture;Environment;Finance;Rural;Social development;Transport</t>
  </si>
  <si>
    <t>20/11/2018|Approved||</t>
  </si>
  <si>
    <t>Link to full text (PDF)|https://www.emansion.gov.lr/doc/Pro-Poor%20Agenda%20For%20Prosperity%20And%20Development%20book%20for%20Email%20sending%20(1).pdf%20-%20Compressed.pdf|en;Link to the 2012's Liberia 2030 vision|https://climate-laws.org/rails/active_storage/blobs/eyJfcmFpbHMiOnsibWVzc2FnZSI6IkJBaHBBbThPIiwiZXhwIjpudWxsLCJwdXIiOiJibG9iX2lkIn19--fbb0e75b57bafb9e128c78066a09cdfbba459a38/Liberia%20Vision%202030.pdf|en</t>
  </si>
  <si>
    <t>Strategy for the National Climate Change Management Policy until 2050</t>
  </si>
  <si>
    <t>Agriculture;Economy-wide;Energy;Industry;LULUCF;Transportation</t>
  </si>
  <si>
    <t>25/12/2012|Law passed||</t>
  </si>
  <si>
    <t>Full text|https://climate-laws.org/rails/active_storage/blobs/eyJfcmFpbHMiOnsibWVzc2FnZSI6IkJBaHBBc0VIIiwiZXhwIjpudWxsLCJwdXIiOiJibG9iX2lkIn19--a3f5ac53bc7194731f17aeeb71c86607f84513f1/f|;English translation|https://climate-laws.org/rails/active_storage/blobs/eyJfcmFpbHMiOnsibWVzc2FnZSI6IkJBaHBBc0lIIiwiZXhwIjpudWxsLCJwdXIiOiJibG9iX2lkIn19--a86afb29787a908820d6c7f0bd873d38fc550dd1/f|</t>
  </si>
  <si>
    <t>National Energy and Climate Plan of the Republic of Lithuania for 2021-2030</t>
  </si>
  <si>
    <t>Subsidies|Economic;Tax incentives|Economic;Capacity building|Governance;Processes, plans and strategies|Governance;Subnational and citizen participation|Governance;International cooperation|Governance;Research &amp; Development, knowledge generation|Information</t>
  </si>
  <si>
    <t>Flood;Drought;Erosion;Change In Air Quality</t>
  </si>
  <si>
    <t>Waste;Buildings;Transportation;Transport;Biofuels;Health;Biogas;Agriculture</t>
  </si>
  <si>
    <t>Full text (PDF)|https://ec.europa.eu/energy/sites/ener/files/documents/lt_final_necp_main_en.pdf|en;Original version (PDF)|https://ec.europa.eu/energy/sites/ener/files/documents/lt_final_necp_main_lt.pdf|lt</t>
  </si>
  <si>
    <t>Renewables;covid19</t>
  </si>
  <si>
    <t>EC dedicated page|https://ec.europa.eu/info/business-economy-euro/recovery-coronavirus/recovery-and-resilience-facility/lithuanias-recovery-and-resilience-plan_en|en;Council Implementing Decision and annex|https://www.consilium.europa.eu/en/documents-publications/public-register/public-register-search/results/?WordsInSubject=&amp;WordsInText=&amp;DocumentNumber=10477%2F21&amp;InterinstitutionalFiles=&amp;DocumentDateFrom=&amp;DocumentDateTo=&amp;MeetingDateFrom=&amp;MeetingDateTo=&amp;DocumentLanguage=EN&amp;OrderBy=DOCUMENT_DATE+DESC&amp;ctl00%24ctl00%24cpMain%24cpMain%24btnSubmit=|en;Full text (PDF)|https://finmin.lrv.lt/uploads/finmin/documents/files/Naujos%20kartos%20Lietuva%20planas.pdf|lt;Link to factsheet|https://ec.europa.eu/info/files/factsheet-lithuanias-recovery-and-resilience-plan_en|en</t>
  </si>
  <si>
    <t>Package on Climate Bank and Sustainable Housing</t>
  </si>
  <si>
    <t>23/12/2016|Law passed</t>
  </si>
  <si>
    <t>link to official website|http://legilux.public.lu/eli/etat/leg/loi/2016/12/23/n23/jo|fr;full text (pdf)|http://data.legilux.public.lu/file/eli-etat-leg-memorial-2016-299-fr-pdf.pdf|fr;full text (pdf)|http://www.lse.ac.uk/GranthamInstitute/wp-content/uploads/2018/02/LUXclimate-and-housing-package.pdf|fr</t>
  </si>
  <si>
    <t>Climate Pact with the Municipalities</t>
  </si>
  <si>
    <t>13/09/2012|Law passed</t>
  </si>
  <si>
    <t>link to official journal|http://legilux.public.lu/eli/etat/leg/loi/2012/09/13/n1/jo|fr;link to official journal|http://legilux.public.lu/eli/etat/leg/loi/2016/03/29/n7/jo|fr;full text (pdf)|http://www.lse.ac.uk/GranthamInstitute/wp-content/uploads/2018/02/LUXclimate-pact-municipalities.pdf|en</t>
  </si>
  <si>
    <t>Law on the natural gas market</t>
  </si>
  <si>
    <t>19/06/2015|Law passed</t>
  </si>
  <si>
    <t>link to official journal|http://legilux.public.lu/eli/etat/leg/loi/2015/06/19/n6/jo|fr;full text (pdf)|http://www.lse.ac.uk/GranthamInstitute/wp-content/uploads/2018/02/LUX-NG-gas-market-law.pdf|fr</t>
  </si>
  <si>
    <t>Law on carbon dioxide geological storage and environmental responsibility</t>
  </si>
  <si>
    <t>Health;Transportation</t>
  </si>
  <si>
    <t>27/08/2012|Law passed||</t>
  </si>
  <si>
    <t>full text 1|http://legilux.public.lu/eli/etat/leg/loi/2012/08/27/n1/jo|fr;full text 2|http://www.lse.ac.uk/GranthamInstitute/wp-content/uploads/2018/02/LUXgeological-storage-and-env-responsibility.pdf|fr</t>
  </si>
  <si>
    <t>Budget Law (climate tax on liquid fuels and tax rebate on low-carbon cars)</t>
  </si>
  <si>
    <t>Institutions / Administrative Arrangements;Carbon Pricing;Transportation</t>
  </si>
  <si>
    <t>15/12/2017|Law passed</t>
  </si>
  <si>
    <t>full text (pdf)|http://www.lse.ac.uk/GranthamInstitute/wp-content/uploads/2018/02/LUX-budget-2017.pdf|fr;link to official journal|http://legilux.public.lu/eli/etat/leg/loi/2017/12/15/a1097/jo|fr</t>
  </si>
  <si>
    <t>Luxembourg's stimulus package "Green relaunch - a boost for climate, crafting and citizens"</t>
  </si>
  <si>
    <t>Covid19;Stimulus Plan</t>
  </si>
  <si>
    <t>Buildings;Economy-wide;Energy;Transportation</t>
  </si>
  <si>
    <t>27/05/2020|Plan announced||</t>
  </si>
  <si>
    <t>Link to official page|https://gouvernement.lu/fr/actualites/toutes_actualites/communiques/2020/05-mai/29-greng-relance.html|fr;Link to related page on the Environment Ministry website|https://environnement.public.lu/fr/actualites/2020/06/primes.html|fr</t>
  </si>
  <si>
    <t>Luxembourg's integrated National Energy and Climate Plan for 2021-2030</t>
  </si>
  <si>
    <t>Standards, obligations and norms|Regulation;Subsidies|Economic;Tax incentives|Economic;Capacity building|Governance;Processes, plans and strategies|Governance;Subnational and citizen participation|Governance;MRV|Governance;Research &amp; Development, knowledge generation|Information</t>
  </si>
  <si>
    <t>Biodiversity Loss;Change In Air Quality</t>
  </si>
  <si>
    <t>Buildings;Transportation;Biodiversity;Transport;Biofuels;Biogas;Agriculture</t>
  </si>
  <si>
    <t>Agriculture;Buildings;Economy-wide;Energy;Transportation;Urban</t>
  </si>
  <si>
    <t>Full text (PDF)|https://ec.europa.eu/energy/sites/ener/files/documents/lu_final_necp_main_en.pdf|en;German version |https://ec.europa.eu/energy/sites/ener/files/documents/lu_final_necp_main_de.pdf|de;French version |https://ec.europa.eu/energy/sites/ener/files/documents/lu_final_necp_main_fr.pdf|fr</t>
  </si>
  <si>
    <t>Renewables;EV;covid19</t>
  </si>
  <si>
    <t>Economy-wide;Energy;Environment;Transport</t>
  </si>
  <si>
    <t>EC page|https://ec.europa.eu/info/business-economy-euro/recovery-coronavirus/recovery-and-resilience-facility/luxembourgs-recovery-and-resilience-plan_en|en;Council Implementing Decision and Annex|https://www.consilium.europa.eu/en/documents-publications/public-register/public-register-search/results/?WordsInSubject=&amp;WordsInText=&amp;DocumentNumber=10155%2F21&amp;InterinstitutionalFiles=&amp;DocumentDateFrom=&amp;DocumentDateTo=&amp;MeetingDateFrom=&amp;MeetingDateTo=&amp;DocumentLanguage=EN&amp;OrderBy=DOCUMENT_DATE+DESC&amp;ctl00%24ctl00%24cpMain%24cpMain%24btnSubmit=|en;National website|https://mfin.gouvernement.lu/fr/dossiers/2021/planderelance.html|fr;Factsheet|https://ec.europa.eu/info/files/factsheet-luxembourgs-recovery-and-resilience-plan_en|en;Link to full text|https://ec.europa.eu/info/files/recovery-and-resilience-plan-luxembourg_en|fr</t>
  </si>
  <si>
    <t>25/12/2011|Law passed</t>
  </si>
  <si>
    <t>Full text (pdf)|https://climate-laws.org/rails/active_storage/blobs/eyJfcmFpbHMiOnsibWVzc2FnZSI6IkJBaHBBbVlKIiwiZXhwIjpudWxsLCJwdXIiOiJibG9iX2lkIn19--0ea7ef5dc724963eecd43b5c1c209b2d1cdcde10/f|en;Full text in Malay (pdf)|http://www.lse.ac.uk/GranthamInstitute/wp-content/uploads/laws/1437_amendment%202015.pdf|ms</t>
  </si>
  <si>
    <t>Electricity Supply Act 1990</t>
  </si>
  <si>
    <t>25/12/2010|Law passed||</t>
  </si>
  <si>
    <t>Full text|https://climate-laws.org/rails/active_storage/blobs/eyJfcmFpbHMiOnsibWVzc2FnZSI6IkJBaHBBbDhKIiwiZXhwIjpudWxsLCJwdXIiOiJibG9iX2lkIn19--43849ea572ad088115abb568d774ff73bd56d51a/f|;Amendment|https://climate-laws.org/rails/active_storage/blobs/eyJfcmFpbHMiOnsibWVzc2FnZSI6IkJBaHBBbUFKIiwiZXhwIjpudWxsLCJwdXIiOiJibG9iX2lkIn19--b0cd58e70e40c9fb42db5532d18cc6068e9e9237/f|</t>
  </si>
  <si>
    <t>Standards, obligations and norms|Regulation;Processes, plans and strategies|Governance;Subnational and citizen participation|Governance;MRV|Governance;International cooperation|Governance;Research &amp; Development, knowledge generation|Information</t>
  </si>
  <si>
    <t>Floods;Droughts;Cyclones;Tsunamis;Storms;Hurricanes;Soil Erosion;Sea Level Rise</t>
  </si>
  <si>
    <t>Agriculture;Buildings;Energy;Transportation;Waste</t>
  </si>
  <si>
    <t>01/08/2015|Law passed||</t>
  </si>
  <si>
    <t>link to official website|http://www.environment.gov.mv/v2/en/download/4594|en;full text (pdf)|https://climate-laws.org/rails/active_storage/blobs/eyJfcmFpbHMiOnsibWVzc2FnZSI6IkJBaHBBcTBNIiwiZXhwIjpudWxsLCJwdXIiOiJibG9iX2lkIn19--cb6bc99a14cd5ced9e62c4f438f9f5291430ecef/2015%20National%20Climate%20Change%20Policy.pdf|en</t>
  </si>
  <si>
    <t>Malta’s recovery and resilience plan</t>
  </si>
  <si>
    <t>covid19;Energy Efficiency;Public Transport</t>
  </si>
  <si>
    <t>Council Implementing Decision|https://eur-lex.europa.eu/legal-content/EN/TXT/?uri=CONSIL:ST_11941_2021_INIT|en;Annex to Council Implementing Decision|https://eur-lex.europa.eu/legal-content/EN/TXT/?uri=CONSIL:ST_11941_2021_ADD_1|en;Official Maltese page|https://eufunds.gov.mt/en/Operational%20Programmes/Pages/Recovery-and-Resilience-Facility.aspx|en;EC page|https://ec.europa.eu/info/business-economy-euro/recovery-coronavirus/recovery-and-resilience-facility/maltas-recovery-and-resilience-plan_en|en;Full text|https://eufunds.gov.mt/en/Operational%20Programmes/Documents/Malta%27s%20Recovery%20%20Resiliance%20Plan%20-%20July%202021.pdf|en;Factsheet|https://ec.europa.eu/info/sites/default/files/factsheet-malta_en_0.pdf|en</t>
  </si>
  <si>
    <t>Joint National Action Plan for Climate Change Adaptation &amp; Disaster Risk Management 2014 - 2018</t>
  </si>
  <si>
    <t>Floods;Droughts;Cyclones;Tsunamis;Storms;Hurricanes;Wildfires;Soil Erosion;Sea Level Rise</t>
  </si>
  <si>
    <t>full text 1|https://pafpnet.spc.int/attachments/article/782/RMI-JNAP-CCA-DRM-2014-18.pdf|en;full text 2|http://www.lse.ac.uk/GranthamInstitute/wp-content/uploads/2018/03/MHL-marshall-adaptation-RMI-JNAP-CCA-DRM-2014-18.pdf|en</t>
  </si>
  <si>
    <t>Mauritius Vision 2030 (Three-Year Strategic Plan)</t>
  </si>
  <si>
    <t>Provision of climate funds|Direct Investment;Processes, plans and strategies|Governance</t>
  </si>
  <si>
    <t>Coastal zones;Economy-wide</t>
  </si>
  <si>
    <t>25/12/2017|First version approved||;01/06/2020|Last version released||</t>
  </si>
  <si>
    <t>Budget speech presenting the 2019-2022 version (PDF)|http://www.tourismauthority.mu/download/82.pdf|en;Link to 2018-2021 version (PDF)|https://mof.govmu.org/Documents/Documents/Budget%202018-2019/Three%20Year%20Strategic%20Plan%20201819-202021.pdf|en</t>
  </si>
  <si>
    <t>The Finance (Miscellaneous Provisions) Act 2021</t>
  </si>
  <si>
    <t>Erosion</t>
  </si>
  <si>
    <t>Biomass;Covid 19;Green Bonds</t>
  </si>
  <si>
    <t>Economy-wide;Finance;Public Sector</t>
  </si>
  <si>
    <t>05/08/2021|Approved||</t>
  </si>
  <si>
    <t>Link to full text (PDF)|https://mof.govmu.org/Documents/2021/Finance%20%28Miscellaneous%20Provisions%29%20Act%202021.pdf|en;Link to budget speech (PDF)|https://budgetmof.govmu.org/Documents/2021_22budgetspeech_english.pdf|en</t>
  </si>
  <si>
    <t>Energy Reform Package</t>
  </si>
  <si>
    <t>Institutions / Administrative Arrangements;Energy Supply;Ban;Fossil Fuels Curbing Measures</t>
  </si>
  <si>
    <t>Energy;Industry;Rural;Transportation</t>
  </si>
  <si>
    <t>25/12/2013|Law passed||</t>
  </si>
  <si>
    <t>Presentation|https://climate-laws.org/rails/active_storage/blobs/eyJfcmFpbHMiOnsibWVzc2FnZSI6IkJBaHBBbHdKIiwiZXhwIjpudWxsLCJwdXIiOiJibG9iX2lkIn19--807cfb8ccbe78912ff9d3870ca98dd38a4a0e5dc/f|;full official explanatory text (pdf)|http://www.lse.ac.uk/GranthamInstitute/wp-content/uploads/laws/1447%20explanation.pdf|es</t>
  </si>
  <si>
    <t>Institutional mandates|Governance;Processes, plans and strategies|Governance;Research &amp; Development, knowledge generation|Information</t>
  </si>
  <si>
    <t>Fires;Floods;Cyclones;Tsunamis;Storms;Hurricanes;Heat Waves And Heat Stress;Changes In Average Precipitation;Cold Waves;High Tides</t>
  </si>
  <si>
    <t>Agriculture;Economy-wide;Energy;Industry;LULUCF;Residential and Commercial;Transportation;Waste</t>
  </si>
  <si>
    <t>06/06/2012|Law passed||;13/07/2018|Last amendment||</t>
  </si>
  <si>
    <t>Full text - English|https://climate-laws.org/rails/active_storage/blobs/eyJfcmFpbHMiOnsibWVzc2FnZSI6IkJBaHBBcDBIIiwiZXhwIjpudWxsLCJwdXIiOiJibG9iX2lkIn19--28aff036b72371f33dddeb4ef4eb690102917481/f|en;Decree updating the General Law (April 2018) - Spanish|https://climate-laws.org/rails/active_storage/blobs/eyJfcmFpbHMiOnsibWVzc2FnZSI6IkJBaHBBcDRIIiwiZXhwIjpudWxsLCJwdXIiOiJibG9iX2lkIn19--27e59ed40141edb2e4a0be2cb71678845f587a0f/f|es;Full amended text|http://www.diputados.gob.mx/LeyesBiblio/pdf/LGCC_061120.pdf|es</t>
  </si>
  <si>
    <t>Transition Strategy to promote the use of cleaner technologies and fuels</t>
  </si>
  <si>
    <t>Capacity building|Governance;Processes, plans and strategies|Governance;MRV|Governance</t>
  </si>
  <si>
    <t>02/12/2016|Law passed||;07/02/2020|New strategy released||</t>
  </si>
  <si>
    <t>Full text (previous strategy)|https://climate-laws.org/rails/active_storage/blobs/eyJfcmFpbHMiOnsibWVzc2FnZSI6IkJBaHBBa01HIiwiZXhwIjpudWxsLCJwdXIiOiJibG9iX2lkIn19--21cfc44dadb0ce6cdca00d4d1abbc51b72b1d556/f|es;Link to current strategy|https://www.dof.gob.mx/nota_detalle.php?codigo=5585823&amp;fecha=07/02/2020|es</t>
  </si>
  <si>
    <t>Decree issuing the Electricity Industry Law, the Geothermal Energy Law and amending the Law on National Waters</t>
  </si>
  <si>
    <t>11/08/2014|Law passed</t>
  </si>
  <si>
    <t>Full text|http://extwprlegs1.fao.org/docs/pdf/mex138547.pdf|;Full text|https://climate-laws.org/rails/active_storage/blobs/eyJfcmFpbHMiOnsibWVzc2FnZSI6IkJBaHBBaFVHIiwiZXhwIjpudWxsLCJwdXIiOiJibG9iX2lkIn19--28d0f1e80b708d2c376b257abd7f16cb5df70172/c|;Government website|https://www.gob.mx/sener/documentos/ley-de-la-industria-electrica-y-la-ley-de-energia-geotermica|</t>
  </si>
  <si>
    <t>Energy Policy</t>
  </si>
  <si>
    <t>Capacity building|Governance;Institutional mandates|Governance;Processes, plans and strategies|Governance;MRV|Governance;Education, training and knowledge dissemination|Information</t>
  </si>
  <si>
    <t>Full text|https://climate-laws.org/rails/active_storage/blobs/eyJfcmFpbHMiOnsibWVzc2FnZSI6IkJBaHBBbFFKIiwiZXhwIjpudWxsLCJwdXIiOiJibG9iX2lkIn19--743b0142f3c4ec3e05f2d80711c8bb092be72334/f|;Full text - part 2|https://climate-laws.org/rails/active_storage/blobs/eyJfcmFpbHMiOnsibWVzc2FnZSI6IkJBaHBBbFVKIiwiZXhwIjpudWxsLCJwdXIiOiJibG9iX2lkIn19--6e6ea73ff2b717d059b3b8b71a3563196fba1afc/f|</t>
  </si>
  <si>
    <t>Law on Promoting the Use of Energy from Renewable Sources(No. 10 of 26.02.2016)</t>
  </si>
  <si>
    <t>25/03/2018|Entered into force||</t>
  </si>
  <si>
    <t>Full text Romanian|http://lex.justice.md/md/363886/|ro;Unofficial draft - English translation|https://www.google.com/url?sa=t&amp;rct=j&amp;q=&amp;esrc=s&amp;source=web&amp;cd=&amp;ved=2ahUKEwjJkJeW1rfwAhWrRRUIHeUVDPwQFjAAegQIAhAD&amp;url=https%3A%2F%2Fwww.energy-community.org%2Fdam%2Fjcr%3Aa282e2ac-b8d4-46b9-8784-1c680f6abc0c%2FMC2017_Annex18g.pdf&amp;usg=AOvVaw0zZzDGi-xTkLM1Ncht78Zl|en</t>
  </si>
  <si>
    <t>Law no 1.456 (Environmental Code)</t>
  </si>
  <si>
    <t>Energy;Health</t>
  </si>
  <si>
    <t>12/12/2017|Law passed</t>
  </si>
  <si>
    <t>Full text|http://journaldemonaco.gouv.mc/Journaux/2017/Journal-8361/Loi-n-1.456-du-12-decembre-2017-portant-Code-de-l-environnement|fr;Full text (pdf)|https://climate-laws.org/rails/active_storage/blobs/eyJfcmFpbHMiOnsibWVzc2FnZSI6IkJBaHBBbTBLIiwiZXhwIjpudWxsLCJwdXIiOiJibG9iX2lkIn19--41284ea637f6f258c302071e352756d695962eaf/MCO-environmental-code-JO-8.361_22-dcbr-2017.pdf|fr</t>
  </si>
  <si>
    <t>The Forest Law</t>
  </si>
  <si>
    <t>Tax incentives|Economic;Provision of climate funds|Direct Investment;Processes, plans and strategies|Governance</t>
  </si>
  <si>
    <t>Institutions / Administrative Arrangements;Redd+ And Lulucf</t>
  </si>
  <si>
    <t>Energy;LULUCF</t>
  </si>
  <si>
    <t>25/12/2012|Law passed</t>
  </si>
  <si>
    <t>Full text - original (pdf)|http://www.lse.ac.uk/GranthamInstitute/wp-content/uploads/laws/1462%20Mongolian.pdf|mn;Full translated text (pdf)|https://climate-laws.org/rails/active_storage/blobs/eyJfcmFpbHMiOnsibWVzc2FnZSI6IkJBaHBBcFVLIiwiZXhwIjpudWxsLCJwdXIiOiJibG9iX2lkIn19--dda0ca06383c4d0db4db0d1df01881948bb53fed/1462%20English.pdf|en</t>
  </si>
  <si>
    <t>Renewable Energy Law</t>
  </si>
  <si>
    <t>11/01/2007|Law passed</t>
  </si>
  <si>
    <t>full text original (pdf)|https://climate-laws.org/rails/active_storage/blobs/eyJfcmFpbHMiOnsibWVzc2FnZSI6IkJBaHBBcFlLIiwiZXhwIjpudWxsLCJwdXIiOiJibG9iX2lkIn19--a6946b33a781debb9018f62d3638e24d4e8e44e9/1464%20Mongolian.pdf|mn;full translated text (pdf)|https://climate-laws.org/rails/active_storage/blobs/eyJfcmFpbHMiOnsibWVzc2FnZSI6IkJBaHBBcGNLIiwiZXhwIjpudWxsLCJwdXIiOiJibG9iX2lkIn19--1d238d04a2a178c6b3e968fa4d03bf7cdb89dd73/1464%20English.pdf|en</t>
  </si>
  <si>
    <t>Law on Disaster Prevention, 2003</t>
  </si>
  <si>
    <t>Adaptation;Institutions / Administrative Arrangements</t>
  </si>
  <si>
    <t>25/12/2009|Law passed||</t>
  </si>
  <si>
    <t>full translated text (pdf)|http://www.lse.ac.uk/GranthamInstitute/wp-content/uploads/laws/1466%20English.pdf|en;Full text original (pdf)|https://climate-laws.org/rails/active_storage/blobs/eyJfcmFpbHMiOnsibWVzc2FnZSI6IkJBaHBBcGdLIiwiZXhwIjpudWxsLCJwdXIiOiJibG9iX2lkIn19--6f45d5f05f7920addf332013e58234f2248878d9/1466%20Mongolian.pdf|mn</t>
  </si>
  <si>
    <t>The Energy Law</t>
  </si>
  <si>
    <t>full text original pdf|https://climate-laws.org/rails/active_storage/blobs/eyJfcmFpbHMiOnsibWVzc2FnZSI6IkJBaHBBcGtLIiwiZXhwIjpudWxsLCJwdXIiOiJibG9iX2lkIn19--54af3eb84af5a1da0ded37619f7c31e261500d8f/1468%20Mongolian.pdf|mn;full translated pdf text|https://climate-laws.org/rails/active_storage/blobs/eyJfcmFpbHMiOnsibWVzc2FnZSI6IkJBaHBBcG9LIiwiZXhwIjpudWxsLCJwdXIiOiJibG9iX2lkIn19--c861ec3a8f784f8edb184382e8ff9c8730ed473e/1468%20English.pdf|en</t>
  </si>
  <si>
    <t>State policy on the energy sector of Mongolia, 2015</t>
  </si>
  <si>
    <t>Standards, obligations and norms|Regulation;Provision of climate funds|Direct Investment;Capacity building|Governance</t>
  </si>
  <si>
    <t>01/06/2015|Approved||</t>
  </si>
  <si>
    <t>Full Text Mongolian|https://policy.asiapacificenergy.org/sites/default/files/State%20Policy%20on%20Energy%202015-2030%20%28MN%29.pdf|mn;Full Text English|https://rise.esmap.org/data/files/library/mongolia/Energy%20Policy%20document_english.pdf|en</t>
  </si>
  <si>
    <t>Laws No. 16-09 and 39-16 on the Agency for Development of Renewable Energy and Energy Efficiency (ADEREE)</t>
  </si>
  <si>
    <t>25/12/2010|Law passed;06/10/2016|Last amendment</t>
  </si>
  <si>
    <t>law 16-09 (full text)|https://climate-laws.org/rails/active_storage/blobs/eyJfcmFpbHMiOnsibWVzc2FnZSI6IkJBaHBBa3dKIiwiZXhwIjpudWxsLCJwdXIiOiJibG9iX2lkIn19--020d6df120b656310e869728ceaaac37a08d4b14/f|;law 39-16 (full text)|https://climate-laws.org/rails/active_storage/blobs/eyJfcmFpbHMiOnsibWVzc2FnZSI6IkJBaHBBazBKIiwiZXhwIjpudWxsLCJwdXIiOiJibG9iX2lkIn19--686c3eb7f4b56c0f871089e53243f0f029919bdb/f|</t>
  </si>
  <si>
    <t>Law 13-09 on renewable energy, regulated by Decree 2-10-578 and amended by law 58-15</t>
  </si>
  <si>
    <t>Institutions / Administrative Arrangements;Research And Development;Energy Supply;Energy Demand;Renewables</t>
  </si>
  <si>
    <t>Energy;LULUCF;Waste</t>
  </si>
  <si>
    <t>11/02/2010|Law passed||;21/04/2011|Regulation issued||;01/12/2015|Amended||</t>
  </si>
  <si>
    <t>Full text|https://climate-laws.org/rails/active_storage/blobs/eyJfcmFpbHMiOnsibWVzc2FnZSI6IkJBaHBBaE1JIiwiZXhwIjpudWxsLCJwdXIiOiJibG9iX2lkIn19--ba0c0e366a69fdda323a979163b17d7c5abf67d2/f|;Link to law 58-15|https://autetouan.ma/web/uploads/dossier/5abcc46b5df93.pdf|fr</t>
  </si>
  <si>
    <t>Decrees no 2.17.655 and 2.19.452 on the Strategic (National) Committee for Sustainable Development</t>
  </si>
  <si>
    <t>22/02/2018|Law passed||</t>
  </si>
  <si>
    <t>Full text (2018 decree)|https://climate-laws.org/rails/active_storage/blobs/eyJfcmFpbHMiOnsibWVzc2FnZSI6IkJBaHBBcmNIIiwiZXhwIjpudWxsLCJwdXIiOiJibG9iX2lkIn19--2691d1e6f6e825774c91f0d1d58af7b5a97a77ff/f|ar;Full text (2019 decree)|https://climate-laws.org/rails/active_storage/blobs/eyJfcmFpbHMiOnsibWVzc2FnZSI6IkJBaHBBZ3dNIiwiZXhwIjpudWxsLCJwdXIiOiJibG9iX2lkIn19--9ea2351a4884f4a6dce974c5246ff807079115d2/decree%20moroc%20jun19.pdf|ar</t>
  </si>
  <si>
    <t>Renewable Energy Feed in Tariff (REFIT) programme</t>
  </si>
  <si>
    <t>01/04/2015|Law passed</t>
  </si>
  <si>
    <t>Full text|https://climate-laws.org/rails/active_storage/blobs/eyJfcmFpbHMiOnsibWVzc2FnZSI6IkJBaHBBdnNHIiwiZXhwIjpudWxsLCJwdXIiOiJibG9iX2lkIn19--594a3c5b0a45a5af61eafc465c0e2107c7316601/f|;Amendment|https://climate-laws.org/rails/active_storage/blobs/eyJfcmFpbHMiOnsibWVzc2FnZSI6IkJBaHBBdndHIiwiZXhwIjpudWxsLCJwdXIiOiJibG9iX2lkIn19--06756144a1e9cc890e26f061daccff0825483650/f|;Website listing technical documents|https://www.nampower.com.na/refit/|</t>
  </si>
  <si>
    <t>Nauru Energy Road Map 2018-2020</t>
  </si>
  <si>
    <t>07/01/2014|Law passed||;01/01/2018|Approved||</t>
  </si>
  <si>
    <t>Full text for 2014-2020|https://climate-laws.org/rails/active_storage/blobs/eyJfcmFpbHMiOnsibWVzc2FnZSI6IkJBaHBBdmdHIiwiZXhwIjpudWxsLCJwdXIiOiJibG9iX2lkIn19--f909db71aa137af56d197216ab1b5bf62637bebd/f|en;Full text (PDF)|https://climate-laws.org/rails/active_storage/blobs/eyJfcmFpbHMiOnsibWVzc2FnZSI6IkJBaHBBdEFNIiwiZXhwIjpudWxsLCJwdXIiOiJibG9iX2lkIn19--3863f464e67fbfb9134922684b42912b1deb2411/Nauru%20Energy%20Roadmap%202018-2020_final.pdf|en</t>
  </si>
  <si>
    <t>Environmental Management and Climate Change Act no 34/2020</t>
  </si>
  <si>
    <t>Provision of climate funds|Direct Investment;Capacity building|Governance;Institutional mandates|Governance;MRV|Governance;International cooperation|Governance</t>
  </si>
  <si>
    <t>Economy-wide;Environment;Waste</t>
  </si>
  <si>
    <t>23/10/2020|Approved||</t>
  </si>
  <si>
    <t>Link to full text (PDF)|http://ronlaw.gov.nr/nauru_lpms/files/acts/e4673599db6462c935fecb84cae487b0.pdf|en;Link to 2021 notices regulations (PDF)|http://ronlaw.gov.nr/nauru_lpms/files/subordinate_legislation/d2e7e07941f32cd881f1611d479df8a4.pdf|en;Link to ban on plastic bans regulations (PDF)|http://ronlaw.gov.nr/nauru_lpms/files/subordinate_legislation/aab912643572c84083c256fa0857809b.pdf|en</t>
  </si>
  <si>
    <t>Forests Act 12/2019</t>
  </si>
  <si>
    <t>Official translation (PDF)|https://climate-laws.org/rails/active_storage/blobs/eyJfcmFpbHMiOnsibWVzc2FnZSI6IkJBaHBBcjBNIiwiZXhwIjpudWxsLCJwdXIiOiJibG9iX2lkIn19--25a2f240a09696fd2d7832b1d04c890e8157d8e9/1993%20Forest%20Act%201993_English.pdf|en;Full text of 1993 law (PDF)|https://climate-laws.org/rails/active_storage/blobs/eyJfcmFpbHMiOnsibWVzc2FnZSI6IkJBaHBBcjRNIiwiZXhwIjpudWxsLCJwdXIiOiJibG9iX2lkIn19--eff933e4fe7354b8990719a5bbd493ac24fa3e22/1993%20Forest%20Act%201993.pdf|ne;Full text of 2019 law (PDF)|https://climate-laws.org/rails/active_storage/blobs/eyJfcmFpbHMiOnsibWVzc2FnZSI6IkJBaHBBak1OIiwiZXhwIjpudWxsLCJwdXIiOiJibG9iX2lkIn19--9973bb3b7c665cb72f12c4dce5de19547504dbd9/20191014_074-WO-0283_na.pdf|en</t>
  </si>
  <si>
    <t>Ustawa o promowaniu wytwarzania energii elektrycznej w morskich farmach wiatrowych</t>
  </si>
  <si>
    <t>Poland</t>
  </si>
  <si>
    <t>POL</t>
  </si>
  <si>
    <t>Polish</t>
  </si>
  <si>
    <t>http://orka.sejm.gov.pl/opinie9.nsf/nazwa/809_u/$file/809_u.pdf|pl</t>
  </si>
  <si>
    <t>http://orka.sejm.gov.pl/opinie9.nsf/nazwa/809_u/$file/809_u.pdf</t>
  </si>
  <si>
    <t>Juan</t>
  </si>
  <si>
    <t>Ustawa z dnia 17 grudnia 2020 r. o promowaniu wytwarzania energii elektrycznej w morskich farmach wiatrowych</t>
  </si>
  <si>
    <t>https://isap.sejm.gov.pl/isap.nsf/DocDetails.xsp?id=WDU20210000234|pl</t>
  </si>
  <si>
    <t>https://isap.sejm.gov.pl/isap.nsf/DocDetails.xsp?id=WDU20210000234</t>
  </si>
  <si>
    <t>Resolução do Conselho de Ministros n.º 92/2010 &amp; n.º 93/2010</t>
  </si>
  <si>
    <t>Portugal</t>
  </si>
  <si>
    <t>PRT</t>
  </si>
  <si>
    <t>https://climate-laws.org/rails/active_storage/blobs/eyJfcmFpbHMiOnsibWVzc2FnZSI6IkJBaHBBdjRJIiwiZXhwIjpudWxsLCJwdXIiOiJibG9iX2lkIn19--3d7b7b3045b0c8baa208b55594e25263ac563851/f|pt</t>
  </si>
  <si>
    <t>https://climate-laws.org/rails/active_storage/blobs/eyJfcmFpbHMiOnsibWVzc2FnZSI6IkJBaHBBdjRJIiwiZXhwIjpudWxsLCJwdXIiOiJibG9iX2lkIn19--3d7b7b3045b0c8baa208b55594e25263ac563851/f</t>
  </si>
  <si>
    <t>ROTEIRO NACIONAL DE BAIXO CARBONO 2050: OPÇÕES DE TRANSIÇÃO PARA UMA ECONOMIA DE BAIXO CARBONO COMPETITIVA EM 2050</t>
  </si>
  <si>
    <t>NATIONAL LOW CARBON ROADMAP 2050: TRANSITIONAL OPTIONS TOWARDS A COMPETITIVE LOW CARBON ECONOMY IN 2050</t>
  </si>
  <si>
    <t>http://www.planoc.com.pt/media/12295/RNBC_RESUMO_2050.pdf|pt</t>
  </si>
  <si>
    <t>http://www.planoc.com.pt/media/12295/RNBC_RESUMO_2050.pdf</t>
  </si>
  <si>
    <t>Decreto-Lei: Estabelece os critérios de sustentabilidade para a produção e utilização de biocombustíveis e biolíquidos e define os limites de incorporação obrigatória de biocombustíveis para os anos 2011 a 2020</t>
  </si>
  <si>
    <t>https://climate-laws.org/rails/active_storage/blobs/eyJfcmFpbHMiOnsibWVzc2FnZSI6IkJBaHBBbGtIIiwiZXhwIjpudWxsLCJwdXIiOiJibG9iX2lkIn19--579a886b35a0b21b3b84fe863dcd864ffa9a3c20/f|pt</t>
  </si>
  <si>
    <t>https://climate-laws.org/rails/active_storage/blobs/eyJfcmFpbHMiOnsibWVzc2FnZSI6IkJBaHBBbGtIIiwiZXhwIjpudWxsLCJwdXIiOiJibG9iX2lkIn19--579a886b35a0b21b3b84fe863dcd864ffa9a3c20/f</t>
  </si>
  <si>
    <t>Decreto-Lei: Procede à atualização das metas de incorporação de biocombustíveis nos  combustíveis para consumo em território nacional para 2021</t>
  </si>
  <si>
    <t>https://data.dre.pt/web/guest/pesquisa/-/search/154483167/details/maximized|pt</t>
  </si>
  <si>
    <t>https://data.dre.pt/web/guest/pesquisa/-/search/154483167/details/maximized</t>
  </si>
  <si>
    <t>Decreto-Lei n.º 64/2017 de 12 de junho</t>
  </si>
  <si>
    <t>https://climate-laws.org/rails/active_storage/blobs/eyJfcmFpbHMiOnsibWVzc2FnZSI6IkJBaHBBZzhIIiwiZXhwIjpudWxsLCJwdXIiOiJibG9iX2lkIn19--c2642ed46e8be464b1f9adcd10803d45f94c9357/f|pt</t>
  </si>
  <si>
    <t>https://climate-laws.org/rails/active_storage/blobs/eyJfcmFpbHMiOnsibWVzc2FnZSI6IkJBaHBBZzhIIiwiZXhwIjpudWxsLCJwdXIiOiJibG9iX2lkIn19--c2642ed46e8be464b1f9adcd10803d45f94c9357/f</t>
  </si>
  <si>
    <t>Decreto-Lei n.º 120/2019: Altera o regime especial e extraordinário para a instalação e exploração de novas centrais de valorização de biomassa</t>
  </si>
  <si>
    <t>https://dre.pt/application/conteudo/124134339|pt</t>
  </si>
  <si>
    <t>https://dre.pt/application/conteudo/124134339</t>
  </si>
  <si>
    <t>Decreto do Presidente da República n.º 87/2015</t>
  </si>
  <si>
    <t>https://climate-laws.org/rails/active_storage/blobs/eyJfcmFpbHMiOnsibWVzc2FnZSI6IkJBaHBBc1lGIiwiZXhwIjpudWxsLCJwdXIiOiJibG9iX2lkIn19--7d2bfe207934cc74e5c0b5495901a52a72fb8b7c/f|pt</t>
  </si>
  <si>
    <t>https://climate-laws.org/rails/active_storage/blobs/eyJfcmFpbHMiOnsibWVzc2FnZSI6IkJBaHBBc1lGIiwiZXhwIjpudWxsLCJwdXIiOiJibG9iX2lkIn19--7d2bfe207934cc74e5c0b5495901a52a72fb8b7c/f</t>
  </si>
  <si>
    <t>Resolução do Conselho de Ministros n.º 53/2020, de 10 de julho:  Aprova o Plano Nacional Energia e Clima 2030 (PNEC 2030)</t>
  </si>
  <si>
    <t>https://dre.pt/dre/detalhe/resolucao-conselho-ministros/53-2020-137618093|pt</t>
  </si>
  <si>
    <t>https://dre.pt/dre/detalhe/resolucao-conselho-ministros/53-2020-137618093</t>
  </si>
  <si>
    <t>Decreto-Lei n.o 225/2007</t>
  </si>
  <si>
    <t>https://dre.pt/application/conteudo/638769|pt</t>
  </si>
  <si>
    <t>https://dre.pt/application/conteudo/638769</t>
  </si>
  <si>
    <t>Decreto-Lei n.o 33-A/2005</t>
  </si>
  <si>
    <t>https://dre.pt/application/conteudo/517381|pt</t>
  </si>
  <si>
    <t>https://dre.pt/application/conteudo/517381</t>
  </si>
  <si>
    <t>Decreto-Lei n.º 23/2010</t>
  </si>
  <si>
    <t>https://dre.pt/application/conteudo/611330|pt</t>
  </si>
  <si>
    <t>https://dre.pt/application/conteudo/611330</t>
  </si>
  <si>
    <t>Decreto-Lei n.º 68-A/2015</t>
  </si>
  <si>
    <t>https://dre.pt/application/conteudo/67123272|pt</t>
  </si>
  <si>
    <t>https://dre.pt/application/conteudo/67123272</t>
  </si>
  <si>
    <t>Decreto-Lei n.º 85/2019</t>
  </si>
  <si>
    <t>https://dre.pt/application/file/a/122760092|pt</t>
  </si>
  <si>
    <t>https://dre.pt/application/file/a/122760092</t>
  </si>
  <si>
    <t>https://descarbonizar2050.pt/en/|en</t>
  </si>
  <si>
    <t>https://descarbonizar2050.pt/en/</t>
  </si>
  <si>
    <t>NATIONAL ENERGY AND CLIMATE PLAN 2021-2030</t>
  </si>
  <si>
    <t>https://ec.europa.eu/energy/sites/ener/files/documents/pt_final_necp_main_en.pdf|en</t>
  </si>
  <si>
    <t>https://ec.europa.eu/energy/sites/ener/files/documents/pt_final_necp_main_en.pdf</t>
  </si>
  <si>
    <t>PLANO NACIONAL ENERGIA E CLIMA 2021-2030</t>
  </si>
  <si>
    <t>https://ec.europa.eu/energy/sites/ener/files/documents/pt_final_necp_main_pt.pdf|pt</t>
  </si>
  <si>
    <t>https://ec.europa.eu/energy/sites/ener/files/documents/pt_final_necp_main_pt.pdf</t>
  </si>
  <si>
    <t>Resolução do Conselho de Ministros n.º 53/2020, de 10 de julho: Aprova o Plano Nacional Energia e Clima 2030</t>
  </si>
  <si>
    <t>https://dre.pt/home/-/dre/137618093/details/maximized|pt</t>
  </si>
  <si>
    <t>https://dre.pt/home/-/dre/137618093/details/maximized</t>
  </si>
  <si>
    <t>Resolução do Conselho de Ministros n.º 56/2015, de 30 de julho: Aprova o Quadro Estratégico para a Política Climática, o Programa Nacional para as Alterações Climáticas e a Estratégia Nacional de Adaptação às Alterações Climáticas, determina os valores de redução das emissões de gases com efeito de estufa para 2020 e 2030 e cria a Comissão Interministerial do Ar e das Alterações Climáticas</t>
  </si>
  <si>
    <t>https://dre.pt/pesquisa/-/search/69905665/details/maximized|pt</t>
  </si>
  <si>
    <t>https://dre.pt/pesquisa/-/search/69905665/details/maximized</t>
  </si>
  <si>
    <t>Estratégia Nacional de Adaptação às Alterações Climáticas</t>
  </si>
  <si>
    <t>https://www.dge.mec.pt/sites/default/files/ECidadania/Educacao_Ambiental/documentos/enaac_consulta_publica.pdf|pt</t>
  </si>
  <si>
    <t>https://www.dge.mec.pt/sites/default/files/ECidadania/Educacao_Ambiental/documentos/enaac_consulta_publica.pdf</t>
  </si>
  <si>
    <t>Decisions on the approval of the assessment of the recovery and resilience plan for Portugal</t>
  </si>
  <si>
    <t>https://www.consilium.europa.eu/en/documents-publications/public-register/public-register-search/results/?WordsInSubject=&amp;WordsInText=&amp;DocumentNumber=10149%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</si>
  <si>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10149%2F21&amp;InterinstitutionalFiles=&amp;DocumentDateFrom=&amp;DocumentDateTo=&amp;MeetingDateFrom=&amp;MeetingDateTo=&amp;DocumentLanguage=EN&amp;OrderBy=DOCUMENT_DATE+DESC&amp;ctl00%24ctl00%24cpMain%24cpMain%24btnSubmit=</t>
  </si>
  <si>
    <t>Recuperar Portugal, Construindo o futuro</t>
  </si>
  <si>
    <t>https://recuperarportugal.gov.pt/wp-content/uploads/2021/10/PRR.pdf|pt</t>
  </si>
  <si>
    <t>https://recuperarportugal.gov.pt/wp-content/uploads/2021/10/PRR.pdf</t>
  </si>
  <si>
    <t>Plano de Recuperação e Resiliência</t>
  </si>
  <si>
    <t>https://recuperarportugal.gov.pt|pt</t>
  </si>
  <si>
    <t>https://recuperarportugal.gov.pt</t>
  </si>
  <si>
    <t>Portugal’s recovery and resilience plan</t>
  </si>
  <si>
    <t>https://ec.europa.eu/info/business-economy-euro/recovery-coronavirus/recovery-and-resilience-facility/portugals-recovery-and-resilience-plan_en|en</t>
  </si>
  <si>
    <t>https://ec.europa.eu/info/business-economy-euro/recovery-coronavirus/recovery-and-resilience-facility/portugals-recovery-and-resilience-plan_en</t>
  </si>
  <si>
    <t>LEGE pentru modificarea şi completarea Legii nr. 121/2014 privind eficienţa energetică</t>
  </si>
  <si>
    <t>Romania</t>
  </si>
  <si>
    <t>ROU</t>
  </si>
  <si>
    <t>https://climate-laws.org/rails/active_storage/blobs/eyJfcmFpbHMiOnsibWVzc2FnZSI6IkJBaHBBdmNJIiwiZXhwIjpudWxsLCJwdXIiOiJibG9iX2lkIn19--ef7155b76dc5d14e07d2423646f5f0d00a77ac42/f|ro</t>
  </si>
  <si>
    <t>https://climate-laws.org/rails/active_storage/blobs/eyJfcmFpbHMiOnsibWVzc2FnZSI6IkJBaHBBdmNJIiwiZXhwIjpudWxsLCJwdXIiOiJibG9iX2lkIn19--ef7155b76dc5d14e07d2423646f5f0d00a77ac42/f</t>
  </si>
  <si>
    <t>Legea nr. 121/2014 privind eficienţa energetică</t>
  </si>
  <si>
    <t>https://lege5.ro/Gratuit/gqydcobtga/legea-nr-121-2014-privind-eficienta-energetica|ro</t>
  </si>
  <si>
    <t>https://lege5.ro/Gratuit/gqydcobtga/legea-nr-121-2014-privind-eficienta-energetica</t>
  </si>
  <si>
    <t>Hotărârea nr. 529/2013 pentru aprobarea Strategiei naţionale a României privind schimbările climatice, 2013-2020</t>
  </si>
  <si>
    <t>https://climate-laws.org/rails/active_storage/blobs/eyJfcmFpbHMiOnsibWVzc2FnZSI6IkJBaHBBaFlHIiwiZXhwIjpudWxsLCJwdXIiOiJibG9iX2lkIn19--47f15ef275604187f9203314ff5970ff905b59ef/f|</t>
  </si>
  <si>
    <t>https://climate-laws.org/rails/active_storage/blobs/eyJfcmFpbHMiOnsibWVzc2FnZSI6IkJBaHBBaFlHIiwiZXhwIjpudWxsLCJwdXIiOiJibG9iX2lkIn19--47f15ef275604187f9203314ff5970ff905b59ef/f</t>
  </si>
  <si>
    <t>Strategia naţională a României privind schimbările climatice 2013 - 2020</t>
  </si>
  <si>
    <t>http://www.mmediu.ro/beta/wp-content/uploads/2013/10/2013-10-01_SNSC.pdf|</t>
  </si>
  <si>
    <t>http://www.mmediu.ro/beta/wp-content/uploads/2013/10/2013-10-01_SNSC.pdf</t>
  </si>
  <si>
    <t>LEGEA nr. 123 din 10 iulie 2012 a energiei electrice și a gazelor naturale</t>
  </si>
  <si>
    <t>https://climate-laws.org/rails/active_storage/blobs/eyJfcmFpbHMiOnsibWVzc2FnZSI6IkJBaHBBdkVJIiwiZXhwIjpudWxsLCJwdXIiOiJibG9iX2lkIn19--1c967a1cad4b9c810abff08b46678b48fc6bb70b/f|ro</t>
  </si>
  <si>
    <t>https://climate-laws.org/rails/active_storage/blobs/eyJfcmFpbHMiOnsibWVzc2FnZSI6IkJBaHBBdkVJIiwiZXhwIjpudWxsLCJwdXIiOiJibG9iX2lkIn19--1c967a1cad4b9c810abff08b46678b48fc6bb70b/f</t>
  </si>
  <si>
    <t>LEGE nr. 155 din 24 iulie 2020 pentru modificarea și completarea Legii energiei electrice și a gazelor naturale nr. 123/2012 și privind modificarea și completarea altor acte normative</t>
  </si>
  <si>
    <t>http://legislatie.just.ro/Public/DetaliiDocument/228440|ro</t>
  </si>
  <si>
    <t>http://legislatie.just.ro/Public/DetaliiDocument/228440</t>
  </si>
  <si>
    <t>Hotărâre nr. 935 din 21/09/2011 privind promovarea utilizării biocarburanţilor şi a biolichidelor</t>
  </si>
  <si>
    <t>https://climate-laws.org/rails/active_storage/blobs/eyJfcmFpbHMiOnsibWVzc2FnZSI6IkJBaHBBdThJIiwiZXhwIjpudWxsLCJwdXIiOiJibG9iX2lkIn19--182a2b9d9a6f717272363df854e2cfea6eebe5da/f|</t>
  </si>
  <si>
    <t>https://climate-laws.org/rails/active_storage/blobs/eyJfcmFpbHMiOnsibWVzc2FnZSI6IkJBaHBBdThJIiwiZXhwIjpudWxsLCJwdXIiOiJibG9iX2lkIn19--182a2b9d9a6f717272363df854e2cfea6eebe5da/f</t>
  </si>
  <si>
    <t>HOTĂRÂRE nr. 918 din 5 septembrie 2012 pentru modificarea şi completarea Hotărârii Guvernului nr. 935/2011 privind promovarea utilizării biocarburanţilor şi a biolichidelor</t>
  </si>
  <si>
    <t>https://climate-laws.org/rails/active_storage/blobs/eyJfcmFpbHMiOnsibWVzc2FnZSI6IkJBaHBBdkFJIiwiZXhwIjpudWxsLCJwdXIiOiJibG9iX2lkIn19--0de6d475ccdf924c0621373b2f9e5efe1592b3de/f|</t>
  </si>
  <si>
    <t>https://climate-laws.org/rails/active_storage/blobs/eyJfcmFpbHMiOnsibWVzc2FnZSI6IkJBaHBBdkFJIiwiZXhwIjpudWxsLCJwdXIiOiJibG9iX2lkIn19--0de6d475ccdf924c0621373b2f9e5efe1592b3de/f</t>
  </si>
  <si>
    <t>LEGE nr. 220 din 27 octombrie 2008 (republicată) pentru stabilirea sistemului de promovare a producerii energiei din surse regenerabile de energie</t>
  </si>
  <si>
    <t>http://legislatie.just.ro/Public/DetaliiDocument/98742|ro</t>
  </si>
  <si>
    <t>http://legislatie.just.ro/Public/DetaliiDocument/98742</t>
  </si>
  <si>
    <t>Legea pentru stabilirea sistemului de promovare a producerii energiei din surse regenerabile de energie</t>
  </si>
  <si>
    <t>https://climate-laws.org/rails/active_storage/blobs/eyJfcmFpbHMiOnsibWVzc2FnZSI6IkJBaHBBckFLIiwiZXhwIjpudWxsLCJwdXIiOiJibG9iX2lkIn19--ce23ad6a1c8155e84f11563b111905346c3d437f/sre_L220_MO577.pdf|ro</t>
  </si>
  <si>
    <t>https://climate-laws.org/rails/active_storage/blobs/eyJfcmFpbHMiOnsibWVzc2FnZSI6IkJBaHBBckFLIiwiZXhwIjpudWxsLCJwdXIiOiJibG9iX2lkIn19--ce23ad6a1c8155e84f11563b111905346c3d437f/sre_L220_MO577.pdf</t>
  </si>
  <si>
    <t>The 2021-2030 Integrated National Energy and Climate Plan</t>
  </si>
  <si>
    <t>https://ec.europa.eu/energy/sites/ener/files/documents/ro_final_necp_main_en.pdf|en</t>
  </si>
  <si>
    <t>https://ec.europa.eu/energy/sites/ener/files/documents/ro_final_necp_main_en.pdf</t>
  </si>
  <si>
    <t>Planul Național Integrat în domeniul Energiei și Schimbărilor Climatice 2021-2030</t>
  </si>
  <si>
    <t>https://ec.europa.eu/energy/sites/ener/files/documents/ro_final_necp_main_ro.pdf|ro</t>
  </si>
  <si>
    <t>https://ec.europa.eu/energy/sites/ener/files/documents/ro_final_necp_main_ro.pdf</t>
  </si>
  <si>
    <t>https://gov.ro/ro/stiri/unda-verde-de-la-comisia-europeana-pentru-pnrr&amp;page=1|ro</t>
  </si>
  <si>
    <t>https://gov.ro/ro/stiri/unda-verde-de-la-comisia-europeana-pentru-pnrr&amp;page=1</t>
  </si>
  <si>
    <t>Recovery and resilience plan for Romania</t>
  </si>
  <si>
    <t>https://ec.europa.eu/info/business-economy-euro/recovery-coronavirus/recovery-and-resilience-facility/recovery-and-resilience-plan-romania_en|en</t>
  </si>
  <si>
    <t>https://ec.europa.eu/info/business-economy-euro/recovery-coronavirus/recovery-and-resilience-facility/recovery-and-resilience-plan-romania_en</t>
  </si>
  <si>
    <t>Климатическая доктрина Российской Федерации</t>
  </si>
  <si>
    <t>Russia</t>
  </si>
  <si>
    <t>RUS</t>
  </si>
  <si>
    <t>https://climate-laws.org/rails/active_storage/blobs/eyJfcmFpbHMiOnsibWVzc2FnZSI6IkJBaHBBckVLIiwiZXhwIjpudWxsLCJwdXIiOiJibG9iX2lkIn19--a27ad82b3d93796131b072367d60cad465b7e032/1592%20Russian.pdf|ru</t>
  </si>
  <si>
    <t>https://climate-laws.org/rails/active_storage/blobs/eyJfcmFpbHMiOnsibWVzc2FnZSI6IkJBaHBBckVLIiwiZXhwIjpudWxsLCJwdXIiOiJibG9iX2lkIn19--a27ad82b3d93796131b072367d60cad465b7e032/1592%20Russian.pdf</t>
  </si>
  <si>
    <t>Climate Doctrine of the Russian Federation - unofficial translation</t>
  </si>
  <si>
    <t>https://climate-laws.org/rails/active_storage/blobs/eyJfcmFpbHMiOnsibWVzc2FnZSI6IkJBaHBBcklLIiwiZXhwIjpudWxsLCJwdXIiOiJibG9iX2lkIn19--b5decc270b549838785ffb44d4180326d625eee7/1592%20English.pdf|en</t>
  </si>
  <si>
    <t>https://climate-laws.org/rails/active_storage/blobs/eyJfcmFpbHMiOnsibWVzc2FnZSI6IkJBaHBBcklLIiwiZXhwIjpudWxsLCJwdXIiOiJibG9iX2lkIn19--b5decc270b549838785ffb44d4180326d625eee7/1592%20English.pdf</t>
  </si>
  <si>
    <t>Энергетическая стратегия России</t>
  </si>
  <si>
    <t>https://climate-laws.org/rails/active_storage/blobs/eyJfcmFpbHMiOnsibWVzc2FnZSI6IkJBaHBBck1LIiwiZXhwIjpudWxsLCJwdXIiOiJibG9iX2lkIn19--741a2b2c16b7f39c0b9773a736dfdca0928f6a1b/1594%20Russian.pdf|ru</t>
  </si>
  <si>
    <t>https://climate-laws.org/rails/active_storage/blobs/eyJfcmFpbHMiOnsibWVzc2FnZSI6IkJBaHBBck1LIiwiZXhwIjpudWxsLCJwdXIiOiJibG9iX2lkIn19--741a2b2c16b7f39c0b9773a736dfdca0928f6a1b/1594%20Russian.pdf</t>
  </si>
  <si>
    <t>ENERGY STRATEGY of RUSSIA for the period up to 2030</t>
  </si>
  <si>
    <t>https://climate-laws.org/rails/active_storage/blobs/eyJfcmFpbHMiOnsibWVzc2FnZSI6IkJBaHBBclFLIiwiZXhwIjpudWxsLCJwdXIiOiJibG9iX2lkIn19--d937b6b730d7181bb09e04c3bcf43dd1d4e7c7ca/1594%20English.pdf|en</t>
  </si>
  <si>
    <t>https://climate-laws.org/rails/active_storage/blobs/eyJfcmFpbHMiOnsibWVzc2FnZSI6IkJBaHBBclFLIiwiZXhwIjpudWxsLCJwdXIiOiJibG9iX2lkIn19--d937b6b730d7181bb09e04c3bcf43dd1d4e7c7ca/1594%20English.pdf</t>
  </si>
  <si>
    <t>ЭНЕРГЕТИЧЕСКАЯ СТРАТЕГИЯ Российской Федерации на период до 2035 года</t>
  </si>
  <si>
    <t>https://policy.asiapacificenergy.org/sites/default/files/Energy%20Strategy%20of%20the%20Russian%20Federation%20until%202035%20%28Government%20Decree%20No.%201523-P%20of%202020%29%28RU%29.pdf|ru</t>
  </si>
  <si>
    <t>https://policy.asiapacificenergy.org/sites/default/files/Energy%20Strategy%20of%20the%20Russian%20Federation%20until%202035%20%28Government%20Decree%20No.%201523-P%20of%202020%29%28RU%29.pdf</t>
  </si>
  <si>
    <t>Развитие водородной энергетики в Российской Федерации до 2024 года</t>
  </si>
  <si>
    <t>Development of hydrogen energy in the Russian Federation until 2024</t>
  </si>
  <si>
    <t>http://publication.pravo.gov.ru/Document/View/0001202010220027|ru</t>
  </si>
  <si>
    <t>http://publication.pravo.gov.ru/Document/View/0001202010220027</t>
  </si>
  <si>
    <t>http://static.government.ru/media/files/7b9bstNfV640nCkkAzCRJ9N8k7uhW8mY.pdf|ru</t>
  </si>
  <si>
    <t>http://static.government.ru/media/files/7b9bstNfV640nCkkAzCRJ9N8k7uhW8mY.pdf</t>
  </si>
  <si>
    <t>National Energy Policy</t>
  </si>
  <si>
    <t>Saint Vincent and the Grenadines</t>
  </si>
  <si>
    <t>VCT</t>
  </si>
  <si>
    <t>https://climate-laws.org/rails/active_storage/blobs/eyJfcmFpbHMiOnsibWVzc2FnZSI6IkJBaHBBaTRHIiwiZXhwIjpudWxsLCJwdXIiOiJibG9iX2lkIn19--181cbc9ba6612b4ab2af0a6bbbacf6589147cdd2/f|</t>
  </si>
  <si>
    <t>https://climate-laws.org/rails/active_storage/blobs/eyJfcmFpbHMiOnsibWVzc2FnZSI6IkJBaHBBaTRHIiwiZXhwIjpudWxsLCJwdXIiOiJibG9iX2lkIn19--181cbc9ba6612b4ab2af0a6bbbacf6589147cdd2/f</t>
  </si>
  <si>
    <t>Energy Action Plan</t>
  </si>
  <si>
    <t>https://climate-laws.org/rails/active_storage/blobs/eyJfcmFpbHMiOnsibWVzc2FnZSI6IkJBaHBBaThHIiwiZXhwIjpudWxsLCJwdXIiOiJibG9iX2lkIn19--0f0a0dc9edbfedd613bb46e6ab1f89834c1a7e3d/f|</t>
  </si>
  <si>
    <t>https://climate-laws.org/rails/active_storage/blobs/eyJfcmFpbHMiOnsibWVzc2FnZSI6IkJBaHBBaThHIiwiZXhwIjpudWxsLCJwdXIiOiJibG9iX2lkIn19--0f0a0dc9edbfedd613bb46e6ab1f89834c1a7e3d/f</t>
  </si>
  <si>
    <t>Samoa Energy Sector Plan 2012-2016</t>
  </si>
  <si>
    <t>Samoa</t>
  </si>
  <si>
    <t>WSM</t>
  </si>
  <si>
    <t>http://www.lse.ac.uk/GranthamInstitute/wp-content/uploads/laws/4835.pdf|en</t>
  </si>
  <si>
    <t>http://www.lse.ac.uk/GranthamInstitute/wp-content/uploads/laws/4835.pdf</t>
  </si>
  <si>
    <t>Samoa Energy Sector Plan 2017-2022</t>
  </si>
  <si>
    <t>https://climate-laws.org/rails/active_storage/blobs/eyJfcmFpbHMiOnsibWVzc2FnZSI6IkJBaHBBdUFNIiwiZXhwIjpudWxsLCJwdXIiOiJibG9iX2lkIn19--5a4b504b64aa5fc6c30308dc8e36848113af8a2b/2017%20Samoa%20Energy%20Sector%20Plan%202017-2022.pdf|</t>
  </si>
  <si>
    <t>https://climate-laws.org/rails/active_storage/blobs/eyJfcmFpbHMiOnsibWVzc2FnZSI6IkJBaHBBdUFNIiwiZXhwIjpudWxsLCJwdXIiOiJibG9iX2lkIn19--5a4b504b64aa5fc6c30308dc8e36848113af8a2b/2017%20Samoa%20Energy%20Sector%20Plan%202017-2022.pdf</t>
  </si>
  <si>
    <t>National Policy on Gender Equality and Rights of Women and Girls 2021-2031</t>
  </si>
  <si>
    <t>https://drive.google.com/file/d/119k8U1m5G1_GxrpE_1z7cTpKJZu_Yhbl/view|en</t>
  </si>
  <si>
    <t>https://drive.google.com/file/d/119k8U1m5G1_GxrpE_1z7cTpKJZu_Yhbl/view</t>
  </si>
  <si>
    <t>Samoa National Policy for Gender Equality 2016-2020</t>
  </si>
  <si>
    <t>http://extwprlegs1.fao.org/docs/pdf/sam181186.pdf|en</t>
  </si>
  <si>
    <t>http://extwprlegs1.fao.org/docs/pdf/sam181186.pdf</t>
  </si>
  <si>
    <t>decreto delegato: CESSIONE IN RETE DI ENERGIA ELETTRICA PRODOTTA DA IMPIANTI AD ENERGIE RINNOVABILI E ASSIMILABILI</t>
  </si>
  <si>
    <t>San Marino</t>
  </si>
  <si>
    <t>SMR</t>
  </si>
  <si>
    <t>https://climate-laws.org/rails/active_storage/blobs/eyJfcmFpbHMiOnsibWVzc2FnZSI6IkJBaHBBa3dHIiwiZXhwIjpudWxsLCJwdXIiOiJibG9iX2lkIn19--5c9171b1a2498cdb6aed8320d2e6baea133708cb/f|</t>
  </si>
  <si>
    <t>https://climate-laws.org/rails/active_storage/blobs/eyJfcmFpbHMiOnsibWVzc2FnZSI6IkJBaHBBa3dHIiwiZXhwIjpudWxsLCJwdXIiOiJibG9iX2lkIn19--5c9171b1a2498cdb6aed8320d2e6baea133708cb/f</t>
  </si>
  <si>
    <t>RIFORMA DELLA LEGGE 7 MAGGIO 2008 N. 72- PROMOZIONE ED INCENTIVAZIONE DELL’EFFICIENZA ENERGETICA DEGLI EDIFICI E DELL’IMPIEGO DI ENERGIE RINNOVABILI IN AMBITO CIVILE E INDUSTRIALE</t>
  </si>
  <si>
    <t>https://climate-laws.org/rails/active_storage/blobs/eyJfcmFpbHMiOnsibWVzc2FnZSI6IkJBaHBBazBHIiwiZXhwIjpudWxsLCJwdXIiOiJibG9iX2lkIn19--206b0d71f8d063b4dbf6adfa2b31a41d59fe087c/f|</t>
  </si>
  <si>
    <t>https://climate-laws.org/rails/active_storage/blobs/eyJfcmFpbHMiOnsibWVzc2FnZSI6IkJBaHBBazBHIiwiZXhwIjpudWxsLCJwdXIiOiJibG9iX2lkIn19--206b0d71f8d063b4dbf6adfa2b31a41d59fe087c/f</t>
  </si>
  <si>
    <t>Modifiche al Decreto Delegato 26 gennaio 2015 n.5 - Incentivi per l’effettuazione di interventi di riqualificazione energetica ed impiantistica degli edifici esistenti e per l’installazione di impianti per la produzione di energia da fonti rinnovabili o cogenerazione</t>
  </si>
  <si>
    <t>https://climate-laws.org/rails/active_storage/blobs/eyJfcmFpbHMiOnsibWVzc2FnZSI6IkJBaHBBazRHIiwiZXhwIjpudWxsLCJwdXIiOiJibG9iX2lkIn19--41b9e1910fa4010bb6dd9935adcb642612cc495c/f|</t>
  </si>
  <si>
    <t>https://climate-laws.org/rails/active_storage/blobs/eyJfcmFpbHMiOnsibWVzc2FnZSI6IkJBaHBBazRHIiwiZXhwIjpudWxsLCJwdXIiOiJibG9iX2lkIn19--41b9e1910fa4010bb6dd9935adcb642612cc495c/f</t>
  </si>
  <si>
    <t>PROMOZIONE ED INCENTIVAZIONE DELL’EFFICIENZA ENERGETICA DEGLI EDIFICI E DELL’IMPIEGO DI ENERGIE RINNOVABILI IN AMBITO CIVILE E INDUSTRIALE</t>
  </si>
  <si>
    <t>https://www.consigliograndeegenerale.sm/contents/instance18/files/document/23711leggi_7321.pdf|en</t>
  </si>
  <si>
    <t>https://www.consigliograndeegenerale.sm/contents/instance18/files/document/23711leggi_7321.pdf</t>
  </si>
  <si>
    <t>CODICE AMBIENTALE</t>
  </si>
  <si>
    <t>http://extwprlegs1.fao.org/docs/pdf/smr119781.pdf|</t>
  </si>
  <si>
    <t>http://extwprlegs1.fao.org/docs/pdf/smr119781.pdf</t>
  </si>
  <si>
    <t>Vision 2030</t>
  </si>
  <si>
    <t>Saudi Arabia</t>
  </si>
  <si>
    <t>SAU</t>
  </si>
  <si>
    <t>https://climate-laws.org/rails/active_storage/blobs/eyJfcmFpbHMiOnsibWVzc2FnZSI6IkJBaHBBdXdIIiwiZXhwIjpudWxsLCJwdXIiOiJibG9iX2lkIn19--809308b145fdabc90b5e1c58fcf64b539d390626/f|</t>
  </si>
  <si>
    <t>https://climate-laws.org/rails/active_storage/blobs/eyJfcmFpbHMiOnsibWVzc2FnZSI6IkJBaHBBdXdIIiwiZXhwIjpudWxsLCJwdXIiOiJibG9iX2lkIn19--809308b145fdabc90b5e1c58fcf64b539d390626/f</t>
  </si>
  <si>
    <t>National Transformation Program Delivery Plan 2021 - 2025</t>
  </si>
  <si>
    <t>https://www.vision2030.gov.sa/media/nhyo0lix/ntp_eng_opt.pdf|en</t>
  </si>
  <si>
    <t>https://www.vision2030.gov.sa/media/nhyo0lix/ntp_eng_opt.pdf</t>
  </si>
  <si>
    <t>الاستراتيجية الوطنية للمياه 2030</t>
  </si>
  <si>
    <t>National Water Strategy for 2030</t>
  </si>
  <si>
    <t>http://extwprlegs1.fao.org/docs/pdf/sau191510.pdf|ar</t>
  </si>
  <si>
    <t>http://extwprlegs1.fao.org/docs/pdf/sau191510.pdf</t>
  </si>
  <si>
    <t>https://www.mewa.gov.sa/en/Ministry/Agencies/TheWaterAgency/Topics/Pages/Strategy.aspx|en</t>
  </si>
  <si>
    <t>https://www.mewa.gov.sa/en/Ministry/Agencies/TheWaterAgency/Topics/Pages/Strategy.aspx</t>
  </si>
  <si>
    <t>Décret No 2014-880 relatif aux attributions du ministre de l'environnement et du développement durable</t>
  </si>
  <si>
    <t>Senegal</t>
  </si>
  <si>
    <t>SEN</t>
  </si>
  <si>
    <t>https://climate-laws.org/rails/active_storage/blobs/eyJfcmFpbHMiOnsibWVzc2FnZSI6IkJBaHBBc0VKIiwiZXhwIjpudWxsLCJwdXIiOiJibG9iX2lkIn19--45f495438649568fbf5a528c50f4e9edf6c7a92a/f|fr</t>
  </si>
  <si>
    <t>https://climate-laws.org/rails/active_storage/blobs/eyJfcmFpbHMiOnsibWVzc2FnZSI6IkJBaHBBc0VKIiwiZXhwIjpudWxsLCJwdXIiOiJibG9iX2lkIn19--45f495438649568fbf5a528c50f4e9edf6c7a92a/f</t>
  </si>
  <si>
    <t>https://www.sec.gouv.sn/d%C3%A9cret-n%C2%B0-2020-2214-relatif-aux-attributions-du-ministre-de-lenvironnement-et-du-d%C3%A9veloppement|fr</t>
  </si>
  <si>
    <t>https://www.sec.gouv.sn/d%C3%A9cret-n%C2%B0-2020-2214-relatif-aux-attributions-du-ministre-de-lenvironnement-et-du-d%C3%A9veloppement</t>
  </si>
  <si>
    <t>ZAKON O ŠUMAMA</t>
  </si>
  <si>
    <t>Serbia</t>
  </si>
  <si>
    <t>SRB</t>
  </si>
  <si>
    <t>Serbian</t>
  </si>
  <si>
    <t>https://climate-laws.org/rails/active_storage/blobs/eyJfcmFpbHMiOnsibWVzc2FnZSI6IkJBaHBBcFVIIiwiZXhwIjpudWxsLCJwdXIiOiJibG9iX2lkIn19--3ebe52531f4c7676189310ab75d04f7501321f1f/f|sr</t>
  </si>
  <si>
    <t>https://climate-laws.org/rails/active_storage/blobs/eyJfcmFpbHMiOnsibWVzc2FnZSI6IkJBaHBBcFVIIiwiZXhwIjpudWxsLCJwdXIiOiJibG9iX2lkIn19--3ebe52531f4c7676189310ab75d04f7501321f1f/f</t>
  </si>
  <si>
    <t>Forest law</t>
  </si>
  <si>
    <t>https://climate-laws.org/rails/active_storage/blobs/eyJfcmFpbHMiOnsibWVzc2FnZSI6IkJBaHBBdHNLIiwiZXhwIjpudWxsLCJwdXIiOiJibG9iX2lkIn19--b67984318a4d1baf2a9433ffc274bc5fbbfed00c/4460%20English.pdf|en</t>
  </si>
  <si>
    <t>https://climate-laws.org/rails/active_storage/blobs/eyJfcmFpbHMiOnsibWVzc2FnZSI6IkJBaHBBdHNLIiwiZXhwIjpudWxsLCJwdXIiOiJibG9iX2lkIn19--b67984318a4d1baf2a9433ffc274bc5fbbfed00c/4460%20English.pdf</t>
  </si>
  <si>
    <t>Biodiversity: Strategic Action Plan</t>
  </si>
  <si>
    <t>Sierra Leone</t>
  </si>
  <si>
    <t>SLE</t>
  </si>
  <si>
    <t>http://extwprlegs1.fao.org/docs/pdf/sie175795.pdf|en</t>
  </si>
  <si>
    <t>http://extwprlegs1.fao.org/docs/pdf/sie175795.pdf</t>
  </si>
  <si>
    <t>Sierra Leone’s Second National Biodiversity Strategy and Action Plan 2017-2026</t>
  </si>
  <si>
    <t>https://www.cbd.int/doc/world/sl/sl-nbsap-v2-en.pdf|en</t>
  </si>
  <si>
    <t>https://www.cbd.int/doc/world/sl/sl-nbsap-v2-en.pdf</t>
  </si>
  <si>
    <t>Budget 2018</t>
  </si>
  <si>
    <t>Singapore</t>
  </si>
  <si>
    <t>SGP</t>
  </si>
  <si>
    <t>https://climate-laws.org/rails/active_storage/blobs/eyJfcmFpbHMiOnsibWVzc2FnZSI6IkJBaHBBaXdHIiwiZXhwIjpudWxsLCJwdXIiOiJibG9iX2lkIn19--910e64899464fa8858218e8fa24a6a5e1e74af9f/f|en</t>
  </si>
  <si>
    <t>https://climate-laws.org/rails/active_storage/blobs/eyJfcmFpbHMiOnsibWVzc2FnZSI6IkJBaHBBaXdHIiwiZXhwIjpudWxsLCJwdXIiOiJibG9iX2lkIn19--910e64899464fa8858218e8fa24a6a5e1e74af9f/f</t>
  </si>
  <si>
    <t>Carbon Pricing Act 2018 (2020 Revised Edition)</t>
  </si>
  <si>
    <t>https://sso.agc.gov.sg/Act/CPA2018|en</t>
  </si>
  <si>
    <t>https://sso.agc.gov.sg/Act/CPA2018</t>
  </si>
  <si>
    <t>Stratégia adaptácie Slovenskej republiky na nepriaznivé dôsledky zmeny klímy</t>
  </si>
  <si>
    <t>Slovakia</t>
  </si>
  <si>
    <t>SVK</t>
  </si>
  <si>
    <t>Slovak</t>
  </si>
  <si>
    <t>https://climate-laws.org/rails/active_storage/blobs/eyJfcmFpbHMiOnsibWVzc2FnZSI6IkJBaHBBbE1HIiwiZXhwIjpudWxsLCJwdXIiOiJibG9iX2lkIn19--4579904050dd65bbbf71496d923f2dbfa699f77a/f|sk</t>
  </si>
  <si>
    <t>https://climate-laws.org/rails/active_storage/blobs/eyJfcmFpbHMiOnsibWVzc2FnZSI6IkJBaHBBbE1HIiwiZXhwIjpudWxsLCJwdXIiOiJibG9iX2lkIn19--4579904050dd65bbbf71496d923f2dbfa699f77a/f</t>
  </si>
  <si>
    <t>http://www.lse.ac.uk/GranthamInstitute/wp-content/uploads/laws/1626.pdf|sk</t>
  </si>
  <si>
    <t>http://www.lse.ac.uk/GranthamInstitute/wp-content/uploads/laws/1626.pdf</t>
  </si>
  <si>
    <t>Integrated National Energy and Climate Plan for 2021 to 2030</t>
  </si>
  <si>
    <t>https://ec.europa.eu/energy/sites/ener/files/sk_final_necp_main_en.pdf|en</t>
  </si>
  <si>
    <t>https://ec.europa.eu/energy/sites/ener/files/sk_final_necp_main_en.pdf</t>
  </si>
  <si>
    <t>Integrovaný národný energetický a klimatický plán na roky 2021 - 2030</t>
  </si>
  <si>
    <t>https://ec.europa.eu/energy/sites/ener/files/documents/sk_final_necp_main_sk.pdf|sk</t>
  </si>
  <si>
    <t>https://ec.europa.eu/energy/sites/ener/files/documents/sk_final_necp_main_sk.pdf</t>
  </si>
  <si>
    <t>Slovakia’s recovery and resilience plan</t>
  </si>
  <si>
    <t>https://ec.europa.eu/info/business-economy-euro/recovery-coronavirus/recovery-and-resilience-facility/slovakias-recovery-and-resilience-plan_en|en</t>
  </si>
  <si>
    <t>https://ec.europa.eu/info/business-economy-euro/recovery-coronavirus/recovery-and-resilience-facility/slovakias-recovery-and-resilience-plan_en</t>
  </si>
  <si>
    <t>Recovery and resilience plan for Slovakia - associated documents</t>
  </si>
  <si>
    <t>https://www.consilium.europa.eu/en/documents-publications/public-register/public-register-search/results/?WordsInSubject=&amp;WordsInText=&amp;DocumentNumber=10156%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</si>
  <si>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10156%2F21&amp;InterinstitutionalFiles=&amp;DocumentDateFrom=&amp;DocumentDateTo=&amp;MeetingDateFrom=&amp;MeetingDateTo=&amp;DocumentLanguage=EN&amp;OrderBy=DOCUMENT_DATE+DESC&amp;ctl00%24ctl00%24cpMain%24cpMain%24btnSubmit=</t>
  </si>
  <si>
    <t>Factsheet: Slovakia’s recovery and resilience plan</t>
  </si>
  <si>
    <t>https://ec.europa.eu/info/files/factsheet-slovakias-recovery-and-resilience-plan_en|en</t>
  </si>
  <si>
    <t>https://ec.europa.eu/info/files/factsheet-slovakias-recovery-and-resilience-plan_en</t>
  </si>
  <si>
    <t>Plán Obnovy: cestovná mapa k lepšiemu Slovensku</t>
  </si>
  <si>
    <t>Recovery Plan: Road Map to a Better Slovakia</t>
  </si>
  <si>
    <t>https://www.planobnovy.sk|sk</t>
  </si>
  <si>
    <t>https://www.planobnovy.sk</t>
  </si>
  <si>
    <t xml:space="preserve">Energetski Zakon </t>
  </si>
  <si>
    <t>Energy act</t>
  </si>
  <si>
    <t>Slovenia</t>
  </si>
  <si>
    <t>SVN</t>
  </si>
  <si>
    <t>Slovenian</t>
  </si>
  <si>
    <t>https://climate-laws.org/rails/active_storage/blobs/eyJfcmFpbHMiOnsibWVzc2FnZSI6IkJBaHBBa1FIIiwiZXhwIjpudWxsLCJwdXIiOiJibG9iX2lkIn19--4c378d9ffaa8315c8e8bc5d115cb1b9a4a8f874e/f|</t>
  </si>
  <si>
    <t>https://climate-laws.org/rails/active_storage/blobs/eyJfcmFpbHMiOnsibWVzc2FnZSI6IkJBaHBBa1FIIiwiZXhwIjpudWxsLCJwdXIiOiJibG9iX2lkIn19--4c378d9ffaa8315c8e8bc5d115cb1b9a4a8f874e/f</t>
  </si>
  <si>
    <t>https://climate-laws.org/rails/active_storage/blobs/eyJfcmFpbHMiOnsibWVzc2FnZSI6IkJBaHBBa1VIIiwiZXhwIjpudWxsLCJwdXIiOiJibG9iX2lkIn19--21d9fec62917885b76a3df9d0fe795e17248e40a/f|</t>
  </si>
  <si>
    <t>https://climate-laws.org/rails/active_storage/blobs/eyJfcmFpbHMiOnsibWVzc2FnZSI6IkJBaHBBa1VIIiwiZXhwIjpudWxsLCJwdXIiOiJibG9iX2lkIn19--21d9fec62917885b76a3df9d0fe795e17248e40a/f</t>
  </si>
  <si>
    <t>INTEGRATED NATIONAL ENERGY AND CLIMATE PLAN OF THE REPUBLIC OF SLOVENIA</t>
  </si>
  <si>
    <t>https://ec.europa.eu/energy/sites/ener/files/documents/si_final_necp_main_en.pdf|en</t>
  </si>
  <si>
    <t>https://ec.europa.eu/energy/sites/ener/files/documents/si_final_necp_main_en.pdf</t>
  </si>
  <si>
    <t>CELOVITI NACIONALNI ENERGETSKI IN PODNEBNI NAČRT REPUBLIKE SLOVENIJE</t>
  </si>
  <si>
    <t>https://ec.europa.eu/energy/sites/ener/files/si_final_necp_main_sl.pdf|sl</t>
  </si>
  <si>
    <t>https://ec.europa.eu/energy/sites/ener/files/si_final_necp_main_sl.pdf</t>
  </si>
  <si>
    <t>European COUNCIL IMPLEMENTING DECISION on the approval of the assessment of the recovery and resilience plan for Slovenia</t>
  </si>
  <si>
    <t>https://www.consilium.europa.eu/en/documents-publications/public-register/public-register-search/results/?WordsInSubject=&amp;WordsInText=&amp;DocumentNumber=10612%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</si>
  <si>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10612%2F21&amp;InterinstitutionalFiles=&amp;DocumentDateFrom=&amp;DocumentDateTo=&amp;MeetingDateFrom=&amp;MeetingDateTo=&amp;DocumentLanguage=EN&amp;OrderBy=DOCUMENT_DATE+DESC&amp;ctl00%24ctl00%24cpMain%24cpMain%24btnSubmit=</t>
  </si>
  <si>
    <t xml:space="preserve">Načrt za okrevanje in odpornost </t>
  </si>
  <si>
    <t>https://www.eu-skladi.si/sl/po-2020/nacrt-za-okrevanje-in-krepitev-odpornosti|sl</t>
  </si>
  <si>
    <t>https://www.eu-skladi.si/sl/po-2020/nacrt-za-okrevanje-in-krepitev-odpornosti</t>
  </si>
  <si>
    <t>Načrt za okrevanje in odpornost</t>
  </si>
  <si>
    <t>https://www.gov.si/zbirke/projekti-in-programi/nacrt-za-okrevanje-in-odpornost|sl</t>
  </si>
  <si>
    <t>https://www.gov.si/zbirke/projekti-in-programi/nacrt-za-okrevanje-in-odpornost</t>
  </si>
  <si>
    <t>Factsheet: Slovenia’s recovery and resilience plan</t>
  </si>
  <si>
    <t>https://ec.europa.eu/info/files/factsheet-slovenias-recovery-and-resilience-plan_en|en</t>
  </si>
  <si>
    <t>https://ec.europa.eu/info/files/factsheet-slovenias-recovery-and-resilience-plan_en</t>
  </si>
  <si>
    <t xml:space="preserve">Resolucije o nacionalnem programu socialnega varstva za obdobje 2022 – 2030 </t>
  </si>
  <si>
    <t>https://climate-laws.org/rails/active_storage/blobs/eyJfcmFpbHMiOnsibWVzc2FnZSI6IkJBaHBBdk1PIiwiZXhwIjpudWxsLCJwdXIiOiJibG9iX2lkIn19--08ebeaaca6639afdcd00053769de843dfdd97950/sevl109.docx|sl</t>
  </si>
  <si>
    <t>https://climate-laws.org/rails/active_storage/blobs/eyJfcmFpbHMiOnsibWVzc2FnZSI6IkJBaHBBdk1PIiwiZXhwIjpudWxsLCJwdXIiOiJibG9iX2lkIn19--08ebeaaca6639afdcd00053769de843dfdd97950/sevl109.docx</t>
  </si>
  <si>
    <t>Resolution on the National Social Protection Program for the period 2022 - 2030</t>
  </si>
  <si>
    <t>https://climate-laws.org/rails/active_storage/blobs/eyJfcmFpbHMiOnsibWVzc2FnZSI6IkJBaHBBdlFPIiwiZXhwIjpudWxsLCJwdXIiOiJibG9iX2lkIn19--f5bac11fc7f167f394d06db3ed1e8c17a6d3fa07/sevl109-2.docx|en</t>
  </si>
  <si>
    <t>https://climate-laws.org/rails/active_storage/blobs/eyJfcmFpbHMiOnsibWVzc2FnZSI6IkJBaHBBdlFPIiwiZXhwIjpudWxsLCJwdXIiOiJibG9iX2lkIn19--f5bac11fc7f167f394d06db3ed1e8c17a6d3fa07/sevl109-2.docx</t>
  </si>
  <si>
    <t>Nacionalna strategija za izstop iz premoga in prestrukturiranje premogovnih regij v skladu z načeli pravičnega prehoda</t>
  </si>
  <si>
    <t>https://www.energetika-portal.si/fileadmin/dokumenti/publikacije/premog_izhod/strategija_prem_vlada_jan202.pdf|sl</t>
  </si>
  <si>
    <t>https://www.energetika-portal.si/fileadmin/dokumenti/publikacije/premog_izhod/strategija_prem_vlada_jan202.pdf</t>
  </si>
  <si>
    <t>NATIONAL DROUGHT PLAN FOR SOMALIA</t>
  </si>
  <si>
    <t>Somalia</t>
  </si>
  <si>
    <t>SOM</t>
  </si>
  <si>
    <t>https://knowledge.unccd.int/sites/default/files/country_profile_documents/FINAL%20NATIONAL%20DROUGHT%20PLAN%20FOR%20SOMALIA%28final%29%2016%20Dec%202020%28%20PDF%20version%29.pdf|en</t>
  </si>
  <si>
    <t>https://knowledge.unccd.int/sites/default/files/country_profile_documents/FINAL%20NATIONAL%20DROUGHT%20PLAN%20FOR%20SOMALIA%28final%29%2016%20Dec%202020%28%20PDF%20version%29.pdf</t>
  </si>
  <si>
    <t>Somalia Drought Impact &amp; Needs Assessment and Recovery &amp; Resilience Framework</t>
  </si>
  <si>
    <t>https://www.gfdrr.org/sites/default/files/publication/somalia-dina-exec-summary.pdf|en</t>
  </si>
  <si>
    <t>https://www.gfdrr.org/sites/default/files/publication/somalia-dina-exec-summary.pdf</t>
  </si>
  <si>
    <t>Revenue trends and tax proposals</t>
  </si>
  <si>
    <t>South Africa</t>
  </si>
  <si>
    <t>ZAF</t>
  </si>
  <si>
    <t>https://climate-laws.org/rails/active_storage/blobs/eyJfcmFpbHMiOnsibWVzc2FnZSI6IkJBaHBBcllJIiwiZXhwIjpudWxsLCJwdXIiOiJibG9iX2lkIn19--1c7e092b602cd12a07054f1a9b69baa8d4c92361/f|</t>
  </si>
  <si>
    <t>https://climate-laws.org/rails/active_storage/blobs/eyJfcmFpbHMiOnsibWVzc2FnZSI6IkJBaHBBcllJIiwiZXhwIjpudWxsLCJwdXIiOiJibG9iX2lkIn19--1c7e092b602cd12a07054f1a9b69baa8d4c92361/f</t>
  </si>
  <si>
    <t>Summary of additional tax proposals for 2009/10</t>
  </si>
  <si>
    <t>https://climate-laws.org/rails/active_storage/blobs/eyJfcmFpbHMiOnsibWVzc2FnZSI6IkJBaHBBcmNJIiwiZXhwIjpudWxsLCJwdXIiOiJibG9iX2lkIn19--67587d108fc68b8524e9a645e29b0d4c88f60830/f|</t>
  </si>
  <si>
    <t>https://climate-laws.org/rails/active_storage/blobs/eyJfcmFpbHMiOnsibWVzc2FnZSI6IkJBaHBBcmNJIiwiZXhwIjpudWxsLCJwdXIiOiJibG9iX2lkIn19--67587d108fc68b8524e9a645e29b0d4c88f60830/f</t>
  </si>
  <si>
    <t>National Greenhouse Gas Emission Reporting Regulations</t>
  </si>
  <si>
    <t>https://climate-laws.org/rails/active_storage/blobs/eyJfcmFpbHMiOnsibWVzc2FnZSI6IkJBaHBBbzRJIiwiZXhwIjpudWxsLCJwdXIiOiJibG9iX2lkIn19--b321256d5a6643fc10f1a4d13e157c84f3419340/f|en</t>
  </si>
  <si>
    <t>https://climate-laws.org/rails/active_storage/blobs/eyJfcmFpbHMiOnsibWVzc2FnZSI6IkJBaHBBbzRJIiwiZXhwIjpudWxsLCJwdXIiOiJibG9iX2lkIn19--b321256d5a6643fc10f1a4d13e157c84f3419340/f</t>
  </si>
  <si>
    <t>AMENDMENTS TO THE NATIONAL GREENHOUSE GAS EMISSION REPORTING REGULATIONS, 2016</t>
  </si>
  <si>
    <t>http://extwprlegs1.fao.org/docs/pdf/saf199923.pdf|en</t>
  </si>
  <si>
    <t>http://extwprlegs1.fao.org/docs/pdf/saf199923.pdf</t>
  </si>
  <si>
    <t>DECLARATION OF GREENHOUSE GASES AS PRIORITY AIR POLLUTANTS</t>
  </si>
  <si>
    <t>http://extwprlegs1.fao.org/docs/pdf/saf176316.pdf|en</t>
  </si>
  <si>
    <t>http://extwprlegs1.fao.org/docs/pdf/saf176316.pdf</t>
  </si>
  <si>
    <t>DISASTER MANAGEMENT ACT. 2002</t>
  </si>
  <si>
    <t>https://climate-laws.org/rails/active_storage/blobs/eyJfcmFpbHMiOnsibWVzc2FnZSI6IkJBaHBBZ1FGIiwiZXhwIjpudWxsLCJwdXIiOiJibG9iX2lkIn19--7d0e69625b2727c7bd111891b684eab06770e276/f|</t>
  </si>
  <si>
    <t>https://climate-laws.org/rails/active_storage/blobs/eyJfcmFpbHMiOnsibWVzc2FnZSI6IkJBaHBBZ1FGIiwiZXhwIjpudWxsLCJwdXIiOiJibG9iX2lkIn19--7d0e69625b2727c7bd111891b684eab06770e276/f</t>
  </si>
  <si>
    <t>Disaster Management Amendment Act, 2015</t>
  </si>
  <si>
    <t>https://climate-laws.org/rails/active_storage/blobs/eyJfcmFpbHMiOnsibWVzc2FnZSI6IkJBaHBBZ1VGIiwiZXhwIjpudWxsLCJwdXIiOiJibG9iX2lkIn19--e0d6d59a5d2bd803a6dd4d20eea5dea25ca2c7bd/f|</t>
  </si>
  <si>
    <t>https://climate-laws.org/rails/active_storage/blobs/eyJfcmFpbHMiOnsibWVzc2FnZSI6IkJBaHBBZ1VGIiwiZXhwIjpudWxsLCJwdXIiOiJibG9iX2lkIn19--e0d6d59a5d2bd803a6dd4d20eea5dea25ca2c7bd/f</t>
  </si>
  <si>
    <t>Integrated Coastal Management Act, 2008</t>
  </si>
  <si>
    <t>https://climate-laws.org/rails/active_storage/blobs/eyJfcmFpbHMiOnsibWVzc2FnZSI6IkJBaHBBdm9FIiwiZXhwIjpudWxsLCJwdXIiOiJibG9iX2lkIn19--0642000646cdeab18300d2010891faf86d32f472/f|</t>
  </si>
  <si>
    <t>https://climate-laws.org/rails/active_storage/blobs/eyJfcmFpbHMiOnsibWVzc2FnZSI6IkJBaHBBdm9FIiwiZXhwIjpudWxsLCJwdXIiOiJibG9iX2lkIn19--0642000646cdeab18300d2010891faf86d32f472/f</t>
  </si>
  <si>
    <t>Integrated Coastal Management Amendment Act, 2014</t>
  </si>
  <si>
    <t>https://climate-laws.org/rails/active_storage/blobs/eyJfcmFpbHMiOnsibWVzc2FnZSI6IkJBaHBBdnNFIiwiZXhwIjpudWxsLCJwdXIiOiJibG9iX2lkIn19--689ee41252913df230db35f3a7a6b6ffc0c3ab80/f|</t>
  </si>
  <si>
    <t>https://climate-laws.org/rails/active_storage/blobs/eyJfcmFpbHMiOnsibWVzc2FnZSI6IkJBaHBBdnNFIiwiZXhwIjpudWxsLCJwdXIiOiJibG9iX2lkIn19--689ee41252913df230db35f3a7a6b6ffc0c3ab80/f</t>
  </si>
  <si>
    <t>National Development Plan 2030</t>
  </si>
  <si>
    <t>https://www.gov.za/issues/national-development-plan-2030|en</t>
  </si>
  <si>
    <t>https://www.gov.za/issues/national-development-plan-2030</t>
  </si>
  <si>
    <t>NATIONAL DEVELOPMENT PLAN 2030</t>
  </si>
  <si>
    <t>https://climate-laws.org/rails/active_storage/blobs/eyJfcmFpbHMiOnsibWVzc2FnZSI6IkJBaHBBaHNOIiwiZXhwIjpudWxsLCJwdXIiOiJibG9iX2lkIn19--073e4a887e97ae288a5890a98284a445e662c7ce/Executive%20Summary-NDP%202030%20-%20Our%20future%20-%20make%20it%20work.pdf|en</t>
  </si>
  <si>
    <t>https://climate-laws.org/rails/active_storage/blobs/eyJfcmFpbHMiOnsibWVzc2FnZSI6IkJBaHBBaHNOIiwiZXhwIjpudWxsLCJwdXIiOiJibG9iX2lkIn19--073e4a887e97ae288a5890a98284a445e662c7ce/Executive%20Summary-NDP%202030%20-%20Our%20future%20-%20make%20it%20work.pdf</t>
  </si>
  <si>
    <t>Green Transport Strategy 2018-2050</t>
  </si>
  <si>
    <t>https://www.transport.gov.za/documents/11623/89294/Green_Transport_Strategy_2018_2050_onlineversion.pdf/71e19f1d-259e-4c55-9b27-30db418f105a|en</t>
  </si>
  <si>
    <t>https://www.transport.gov.za/documents/11623/89294/Green_Transport_Strategy_2018_2050_onlineversion.pdf/71e19f1d-259e-4c55-9b27-30db418f105a</t>
  </si>
  <si>
    <t>National Transport Master Plan (NATMAP) 2050 Synopis Report</t>
  </si>
  <si>
    <t>https://www.transport.gov.za/natmap-2050|en</t>
  </si>
  <si>
    <t>https://www.transport.gov.za/natmap-2050</t>
  </si>
  <si>
    <t>ACT ON THE ALLOCATION AND TRADING OF GREENHOUSE-GAS EMISSION PERMITS</t>
  </si>
  <si>
    <t>South Korea</t>
  </si>
  <si>
    <t>KOR</t>
  </si>
  <si>
    <t>https://climate-laws.org/rails/active_storage/blobs/eyJfcmFpbHMiOnsibWVzc2FnZSI6IkJBaHBBck1JIiwiZXhwIjpudWxsLCJwdXIiOiJibG9iX2lkIn19--c465bbadbc173d88ce267d8db9943fb62194160b/f|</t>
  </si>
  <si>
    <t>https://climate-laws.org/rails/active_storage/blobs/eyJfcmFpbHMiOnsibWVzc2FnZSI6IkJBaHBBck1JIiwiZXhwIjpudWxsLCJwdXIiOiJibG9iX2lkIn19--c465bbadbc173d88ce267d8db9943fb62194160b/f</t>
  </si>
  <si>
    <t>온실가스 배출권의 할당 및 거래에 관한 법률</t>
  </si>
  <si>
    <t>Korean</t>
  </si>
  <si>
    <t>https://www.law.go.kr/LSW/lsInfoP.do?efYd=20200601&amp;lsiSeq=215913&amp;ancYd=20200324&amp;nwJoYnInfo=N&amp;ancYnChk=0&amp;ancNo=17104&amp;chrClsCd=010202&amp;efGubun=Y%230000#0000|ko</t>
  </si>
  <si>
    <t>https://www.law.go.kr/LSW/lsInfoP.do?efYd=20200601&amp;lsiSeq=215913&amp;ancYd=20200324&amp;nwJoYnInfo=N&amp;ancYnChk=0&amp;ancNo=17104&amp;chrClsCd=010202&amp;efGubun=Y%230000#0000</t>
  </si>
  <si>
    <t>https://www.moef.go.kr/nw/nes/detailNesDtaView.do?menuNo=4010100&amp;searchNttId1=OLD_4020294&amp;searchBbsId1=MOSFBBS_000000000028|ko</t>
  </si>
  <si>
    <t>https://www.moef.go.kr/nw/nes/detailNesDtaView.do?menuNo=4010100&amp;searchNttId1=OLD_4020294&amp;searchBbsId1=MOSFBBS_000000000028</t>
  </si>
  <si>
    <t xml:space="preserve"> 배출권거래제 제3차 계획기간 국가배출권 할당계획 </t>
  </si>
  <si>
    <t>https://ors.gir.go.kr/home/board/read.do?menuId=2&amp;boardMasterId=4&amp;boardId=44|ko</t>
  </si>
  <si>
    <t>https://ors.gir.go.kr/home/board/read.do?menuId=2&amp;boardMasterId=4&amp;boardId=44</t>
  </si>
  <si>
    <t>저탄소 녹색성장 기본법 시행령</t>
  </si>
  <si>
    <t>https://climate-laws.org/rails/active_storage/blobs/eyJfcmFpbHMiOnsibWVzc2FnZSI6IkJBaHBBdU1IIiwiZXhwIjpudWxsLCJwdXIiOiJibG9iX2lkIn19--d108ba8ba3d14443910b37cf75384baebc56a505/f|ko</t>
  </si>
  <si>
    <t>https://climate-laws.org/rails/active_storage/blobs/eyJfcmFpbHMiOnsibWVzc2FnZSI6IkJBaHBBdU1IIiwiZXhwIjpudWxsLCJwdXIiOiJibG9iX2lkIn19--d108ba8ba3d14443910b37cf75384baebc56a505/f</t>
  </si>
  <si>
    <t>FRAMEWORK ACT ON LOW CARBON, GREEN GROWTH</t>
  </si>
  <si>
    <t>https://climate-laws.org/rails/active_storage/blobs/eyJfcmFpbHMiOnsibWVzc2FnZSI6IkJBaHBBdFVNIiwiZXhwIjpudWxsLCJwdXIiOiJibG9iX2lkIn19--ba28358c34b12f4df68ace4ab06a687ea8daa63c/Framework%20Act%20English.pdf|en</t>
  </si>
  <si>
    <t>https://climate-laws.org/rails/active_storage/blobs/eyJfcmFpbHMiOnsibWVzc2FnZSI6IkJBaHBBdFVNIiwiZXhwIjpudWxsLCJwdXIiOiJibG9iX2lkIn19--ba28358c34b12f4df68ace4ab06a687ea8daa63c/Framework%20Act%20English.pdf</t>
  </si>
  <si>
    <t>재생에너지 3020 이행계획(안)</t>
  </si>
  <si>
    <t>https://climate-laws.org/rails/active_storage/blobs/eyJfcmFpbHMiOnsibWVzc2FnZSI6IkJBaHBBdDRLIiwiZXhwIjpudWxsLCJwdXIiOiJibG9iX2lkIn19--a26a548c8f3e583f710b721e74937086c463fc42/Implementation-plans-for-renewable-20-by-2030.pdf|ko</t>
  </si>
  <si>
    <t>https://climate-laws.org/rails/active_storage/blobs/eyJfcmFpbHMiOnsibWVzc2FnZSI6IkJBaHBBdDRLIiwiZXhwIjpudWxsLCJwdXIiOiJibG9iX2lkIn19--a26a548c8f3e583f710b721e74937086c463fc42/Implementation-plans-for-renewable-20-by-2030.pdf</t>
  </si>
  <si>
    <t>제8차 전력수급기본계획 2017-2031</t>
  </si>
  <si>
    <t>https://climate-laws.org/rails/active_storage/blobs/eyJfcmFpbHMiOnsibWVzc2FnZSI6IkJBaHBBdDhLIiwiZXhwIjpudWxsLCJwdXIiOiJibG9iX2lkIn19--53375c12bcdda28d63305a046a8798e7f6611c27/8th-long-term-plan-for-electricity-supply-and-demand.pdf|ko</t>
  </si>
  <si>
    <t>https://climate-laws.org/rails/active_storage/blobs/eyJfcmFpbHMiOnsibWVzc2FnZSI6IkJBaHBBdDhLIiwiZXhwIjpudWxsLCJwdXIiOiJibG9iX2lkIn19--53375c12bcdda28d63305a046a8798e7f6611c27/8th-long-term-plan-for-electricity-supply-and-demand.pdf</t>
  </si>
  <si>
    <t>https://policy.asiapacificenergy.org/sites/default/files/2nd%20Energy%20Master%20Plan.pdf(7-mar-18)|</t>
  </si>
  <si>
    <t>https://policy.asiapacificenergy.org/sites/default/files/2nd%20Energy%20Master%20Plan.pdf(7-mar-18)</t>
  </si>
  <si>
    <t>Third Energy Master Plan</t>
  </si>
  <si>
    <t>https://www.etrans.or.kr/ebook/05/files/assets/common/downloads/Third%20Energy%20Master%20Plan.pdf|en</t>
  </si>
  <si>
    <t>https://www.etrans.or.kr/ebook/05/files/assets/common/downloads/Third%20Energy%20Master%20Plan.pdf</t>
  </si>
  <si>
    <t>Polish Offshore Wind Act</t>
  </si>
  <si>
    <t>21/01/2021|Approved||</t>
  </si>
  <si>
    <t>Link to full text (PDF)|http://orka.sejm.gov.pl/opinie9.nsf/nazwa/809_u/$file/809_u.pdf|pl;Link to full text on official website |https://isap.sejm.gov.pl/isap.nsf/DocDetails.xsp?id=WDU20210000234|pl</t>
  </si>
  <si>
    <t>Resolution of Council of Ministers 93/2010 mandating the development of a new regulatory framework for post-2010 climate policy in Portugal</t>
  </si>
  <si>
    <t>26/11/2010|Law passed||</t>
  </si>
  <si>
    <t>Full text|https://climate-laws.org/rails/active_storage/blobs/eyJfcmFpbHMiOnsibWVzc2FnZSI6IkJBaHBBdjRJIiwiZXhwIjpudWxsLCJwdXIiOiJibG9iX2lkIn19--3d7b7b3045b0c8baa208b55594e25263ac563851/f|pt;Link to National Low Carbon Roadmap |http://www.planoc.com.pt/media/12295/RNBC_RESUMO_2050.pdf|pt</t>
  </si>
  <si>
    <t>Decree-Law No. 117/2010, regulating sustainability criteria for production and use of biofuel and bio liquids, amended by Decree-Law 6/2012 and Decree-Law 8/2021</t>
  </si>
  <si>
    <t>Institutions / Administrative Arrangements;Energy Supply;Transportation</t>
  </si>
  <si>
    <t>25/10/2010|Approved||;20/01/2021|Amended||</t>
  </si>
  <si>
    <t>Full text|https://climate-laws.org/rails/active_storage/blobs/eyJfcmFpbHMiOnsibWVzc2FnZSI6IkJBaHBBbGtIIiwiZXhwIjpudWxsLCJwdXIiOiJibG9iX2lkIn19--579a886b35a0b21b3b84fe863dcd864ffa9a3c20/f|pt;Link to 2021 document on official website|https://data.dre.pt/web/guest/pesquisa/-/search/154483167/details/maximized|pt</t>
  </si>
  <si>
    <t>Decree-Law 64/2017 on biomass plants as amended by Decree-Law 120/2019</t>
  </si>
  <si>
    <t>Agriculture;Energy;LULUCF</t>
  </si>
  <si>
    <t>12/06/2017|Law passed;22/08/2019|Amended</t>
  </si>
  <si>
    <t>Full text|https://climate-laws.org/rails/active_storage/blobs/eyJfcmFpbHMiOnsibWVzc2FnZSI6IkJBaHBBZzhIIiwiZXhwIjpudWxsLCJwdXIiOiJibG9iX2lkIn19--c2642ed46e8be464b1f9adcd10803d45f94c9357/f|pt;Link to Decree-Law 120/2019 (PDF)|https://dre.pt/application/conteudo/124134339|pt</t>
  </si>
  <si>
    <t>Resolutions of the Council of Ministers no 56/2015 and 53/2020</t>
  </si>
  <si>
    <t>Zoning &amp; Spatial Planning|Regulation;Tax incentives|Economic;Processes, plans and strategies|Governance;MRV|Governance;Research &amp; Development, knowledge generation|Information</t>
  </si>
  <si>
    <t>Floods;Droughts;Wildfires;Heat Waves And Heat Stress</t>
  </si>
  <si>
    <t>30/07/2015|Law passed||;10/07/2020|Amended||</t>
  </si>
  <si>
    <t>Full text of resolution 56/2015|https://climate-laws.org/rails/active_storage/blobs/eyJfcmFpbHMiOnsibWVzc2FnZSI6IkJBaHBBc1lGIiwiZXhwIjpudWxsLCJwdXIiOiJibG9iX2lkIn19--7d2bfe207934cc74e5c0b5495901a52a72fb8b7c/f|pt;Link to resolution 53/2020|https://dre.pt/dre/detalhe/resolucao-conselho-ministros/53-2020-137618093|pt</t>
  </si>
  <si>
    <t>Decree-Law no 33-A/2005 and Decree-Law no 225/2007 on the support to renewable energy supply</t>
  </si>
  <si>
    <t>16/02/2005|Decree-Law 33-A/2005 issued;31/05/2007|Decree-Law 225/2007 issued</t>
  </si>
  <si>
    <t>Decree-Law 225/2207 (link to PDF)|https://dre.pt/application/conteudo/638769|pt;Decree-Law 33-A/2005 (link to PDF)|https://dre.pt/application/conteudo/517381|pt</t>
  </si>
  <si>
    <t>Decree-Law no 23/2010 amended by Decree-Law 68-A/2015 on heat and cogeneration</t>
  </si>
  <si>
    <t>Heat</t>
  </si>
  <si>
    <t>25/03/2010|Decree passed;30/04/2015|Decree passed</t>
  </si>
  <si>
    <t>Link to full text (PDF)|https://dre.pt/application/conteudo/611330|pt;Link to full text (PDF)|https://dre.pt/application/conteudo/67123272|pt</t>
  </si>
  <si>
    <t>Resolution no 107/2019 of the Council of Ministers approving the Long-Term Strategy for Carbon Neutrality of the Portuguese Economy in 2050</t>
  </si>
  <si>
    <t>Tax incentives|Economic;Capacity building|Governance;Subnational and citizen participation|Governance;Research &amp; Development, knowledge generation|Information</t>
  </si>
  <si>
    <t>Resolution;Strategy</t>
  </si>
  <si>
    <t>Net Zero</t>
  </si>
  <si>
    <t>01/07/2019|Resolution approved||</t>
  </si>
  <si>
    <t>Link to full text (PDF)|https://dre.pt/application/file/a/122760092|pt;Link to official website in English|https://descarbonizar2050.pt/en/|en</t>
  </si>
  <si>
    <t>Portugal's National Energy and Climate Plan for 2021-2030</t>
  </si>
  <si>
    <t>Standards, obligations and norms|Regulation;Subsidies|Economic;Tax incentives|Economic;Capacity building|Governance;Processes, plans and strategies|Governance;Subnational and citizen participation|Governance;Research &amp; Development, knowledge generation|Information</t>
  </si>
  <si>
    <t>Flood;Drought;Erosion;Coastal Erosion</t>
  </si>
  <si>
    <t>Transportation;Transport;Biofuels;Health;Biogas;Agriculture</t>
  </si>
  <si>
    <t>Agriculture;Buildings;Economy-wide;Health;Transportation;Waste;Water</t>
  </si>
  <si>
    <t>Full text (PDF)|https://ec.europa.eu/energy/sites/ener/files/documents/pt_final_necp_main_en.pdf|en;Original version (PDF)|https://ec.europa.eu/energy/sites/ener/files/documents/pt_final_necp_main_pt.pdf|pt;Link to resolution 53/2020|https://dre.pt/home/-/dre/137618093/details/maximized|pt</t>
  </si>
  <si>
    <t>National Adaptation Strategy to Climate Change</t>
  </si>
  <si>
    <t>Adaptation;Economy-wide</t>
  </si>
  <si>
    <t>01/05/2015|Approved||;10/07/2020|Validity extended to 2025||</t>
  </si>
  <si>
    <t>Link to approving resolution 56/2015|https://dre.pt/pesquisa/-/search/69905665/details/maximized|pt;Link to full text (PDF)|https://www.dge.mec.pt/sites/default/files/ECidadania/Educacao_Ambiental/documentos/enaac_consulta_publica.pdf|pt;Link to resolution 53/2020|https://dre.pt/dre/detalhe/resolucao-conselho-ministros/53-2020-137618093|pt</t>
  </si>
  <si>
    <t>Subsidies|Economic;Nature based solutions and ecosystem restoration|Direct Investment;Processes, plans and strategies|Governance;International cooperation|Governance</t>
  </si>
  <si>
    <t>Renewables;Hydrogen;covid19;Energy Efficiency</t>
  </si>
  <si>
    <t>Buildings;Economy-wide;Energy;LULUCF</t>
  </si>
  <si>
    <t>22/04/2021|Released||</t>
  </si>
  <si>
    <t>Council implementing decision and annex|https://www.consilium.europa.eu/en/documents-publications/public-register/public-register-search/results/?WordsInSubject=&amp;WordsInText=&amp;DocumentNumber=10149%2F21&amp;InterinstitutionalFiles=&amp;DocumentDateFrom=&amp;DocumentDateTo=&amp;MeetingDateFrom=&amp;MeetingDateTo=&amp;DocumentLanguage=EN&amp;OrderBy=DOCUMENT_DATE+DESC&amp;ctl00%24ctl00%24cpMain%24cpMain%24btnSubmit=|en;Full text (PDF)|https://recuperarportugal.gov.pt/wp-content/uploads/2021/10/PRR.pdf|pt;Official portuguese website|https://recuperarportugal.gov.pt|pt;EC dedicated page|https://ec.europa.eu/info/business-economy-euro/recovery-coronavirus/recovery-and-resilience-facility/portugals-recovery-and-resilience-plan_en|en</t>
  </si>
  <si>
    <t>Law on energy efficiency 121/2014</t>
  </si>
  <si>
    <t>Standards, obligations and norms|Regulation;Research &amp; Development, knowledge generation|Information</t>
  </si>
  <si>
    <t>Energy;Residential and Commercial;Transportation</t>
  </si>
  <si>
    <t>04/08/2014|Law passed;25/12/2016|Last amendment</t>
  </si>
  <si>
    <t>Full text|https://climate-laws.org/rails/active_storage/blobs/eyJfcmFpbHMiOnsibWVzc2FnZSI6IkJBaHBBdmNJIiwiZXhwIjpudWxsLCJwdXIiOiJibG9iX2lkIn19--ef7155b76dc5d14e07d2423646f5f0d00a77ac42/f|ro;Link to official website|https://lege5.ro/Gratuit/gqydcobtga/legea-nr-121-2014-privind-eficienta-energetica|ro</t>
  </si>
  <si>
    <t>The National Climate Change Strategy (2013-2020)</t>
  </si>
  <si>
    <t>Earthquakes;Floods;Droughts;Landslides;Wildfires;Changes In Soil Quality;Heat Waves And Heat Stress;Changes In Average Precipitation</t>
  </si>
  <si>
    <t>01/06/2013|Law passed</t>
  </si>
  <si>
    <t>Government decision 529/2013 to adopt the strategy|https://climate-laws.org/rails/active_storage/blobs/eyJfcmFpbHMiOnsibWVzc2FnZSI6IkJBaHBBaFlHIiwiZXhwIjpudWxsLCJwdXIiOiJibG9iX2lkIn19--47f15ef275604187f9203314ff5970ff905b59ef/f|;Full text (Romanian)|http://www.mmediu.ro/beta/wp-content/uploads/2013/10/2013-10-01_SNSC.pdf|</t>
  </si>
  <si>
    <t>Law on Electrical Energy and Natural Gases no. 123/2012 and amending Laws no. 155 and no 290</t>
  </si>
  <si>
    <t>Institutions / Administrative Arrangements;Energy Supply;Energy Demand;Renewables</t>
  </si>
  <si>
    <t>19/07/2012|Law passed||;19/05/2020|Law amended|Amended by Government Emergency Ordinance no. 74/2020|;27/07/2020|Law amended |Amended by Law no. 155|</t>
  </si>
  <si>
    <t>Full text|https://climate-laws.org/rails/active_storage/blobs/eyJfcmFpbHMiOnsibWVzc2FnZSI6IkJBaHBBdkVJIiwiZXhwIjpudWxsLCJwdXIiOiJibG9iX2lkIn19--1c967a1cad4b9c810abff08b46678b48fc6bb70b/f|ro;Link to law no. 155|http://legislatie.just.ro/Public/DetaliiDocument/228440|ro</t>
  </si>
  <si>
    <t>Government Decision regarding the use of bio fuels and bio liquids 935/2011 amended and complimented with 918/2012</t>
  </si>
  <si>
    <t>11/11/2011|Law passed</t>
  </si>
  <si>
    <t>Full text|https://climate-laws.org/rails/active_storage/blobs/eyJfcmFpbHMiOnsibWVzc2FnZSI6IkJBaHBBdThJIiwiZXhwIjpudWxsLCJwdXIiOiJibG9iX2lkIn19--182a2b9d9a6f717272363df854e2cfea6eebe5da/f|;Full text - part 2|https://climate-laws.org/rails/active_storage/blobs/eyJfcmFpbHMiOnsibWVzc2FnZSI6IkJBaHBBdkFJIiwiZXhwIjpudWxsLCJwdXIiOiJibG9iX2lkIn19--0de6d475ccdf924c0621373b2f9e5efe1592b3de/f|</t>
  </si>
  <si>
    <t>Law no 220/2008 for the promotion of energy production from renewable energy sources</t>
  </si>
  <si>
    <t>06/11/2008|Law passed;25/12/2018|Last amendment</t>
  </si>
  <si>
    <t>link to official website|http://legislatie.just.ro/Public/DetaliiDocument/98742|ro;PDF full text|https://climate-laws.org/rails/active_storage/blobs/eyJfcmFpbHMiOnsibWVzc2FnZSI6IkJBaHBBckFLIiwiZXhwIjpudWxsLCJwdXIiOiJibG9iX2lkIn19--ce23ad6a1c8155e84f11563b111905346c3d437f/sre_L220_MO577.pdf|ro</t>
  </si>
  <si>
    <t>Romania's 2021-2030 Integrated National Energy and Climate Plan</t>
  </si>
  <si>
    <t>Subsidies|Economic;Tax incentives|Economic;Capacity building|Governance;Processes, plans and strategies|Governance;Subnational and citizen participation|Governance;Research &amp; Development, knowledge generation|Information</t>
  </si>
  <si>
    <t>Flood;Drought;Erosion;Earhquakes;Landslides;Coastal Erosion</t>
  </si>
  <si>
    <t>Buildings;Transportation;Transport;Health;Agriculture</t>
  </si>
  <si>
    <t>Agriculture;Buildings;Economy-wide;Health;Transportation;Urban;Waste</t>
  </si>
  <si>
    <t>01/04/2020|Approved||</t>
  </si>
  <si>
    <t>Full text (PDF)|https://ec.europa.eu/energy/sites/ener/files/documents/ro_final_necp_main_en.pdf|en;Original version (PDF)|https://ec.europa.eu/energy/sites/ener/files/documents/ro_final_necp_main_ro.pdf|ro</t>
  </si>
  <si>
    <t>Subsidies|Economic;Nature based solutions and ecosystem restoration|Direct Investment;Processes, plans and strategies|Governance</t>
  </si>
  <si>
    <t>Coal;covid19;rail;Energy Efficiency;fossil fuels curbing measures</t>
  </si>
  <si>
    <t>Buildings;Economy-wide;Energy;Environment;Transport;Urban</t>
  </si>
  <si>
    <t>Official national page|https://gov.ro/ro/stiri/unda-verde-de-la-comisia-europeana-pentru-pnrr&amp;page=1|ro;EC page|https://ec.europa.eu/info/business-economy-euro/recovery-coronavirus/recovery-and-resilience-facility/recovery-and-resilience-plan-romania_en|en</t>
  </si>
  <si>
    <t>Climate Doctrine of the Russian Federation</t>
  </si>
  <si>
    <t>Tax incentives|Economic;Capacity building|Governance;Processes, plans and strategies|Governance;Subnational and citizen participation|Governance</t>
  </si>
  <si>
    <t>Adaptation;Institutions / Administrative Arrangements;Research And Development;Energy Supply;Energy Demand</t>
  </si>
  <si>
    <t>Economy-wide;Energy;Industry;LULUCF;Residential and Commercial;Transportation</t>
  </si>
  <si>
    <t>full text pdf|https://climate-laws.org/rails/active_storage/blobs/eyJfcmFpbHMiOnsibWVzc2FnZSI6IkJBaHBBckVLIiwiZXhwIjpudWxsLCJwdXIiOiJibG9iX2lkIn19--a27ad82b3d93796131b072367d60cad465b7e032/1592%20Russian.pdf|ru;unofficial translation|https://climate-laws.org/rails/active_storage/blobs/eyJfcmFpbHMiOnsibWVzc2FnZSI6IkJBaHBBcklLIiwiZXhwIjpudWxsLCJwdXIiOiJibG9iX2lkIn19--b5decc270b549838785ffb44d4180326d625eee7/1592%20English.pdf|en</t>
  </si>
  <si>
    <t>Energy Strategy 2035 approved by Government Decree 1523-r/2020</t>
  </si>
  <si>
    <t>Energy Supply;Hydrogen</t>
  </si>
  <si>
    <t>13/11/2009|ES2030 passed||;10/06/2020|Passed||</t>
  </si>
  <si>
    <t>original version of Energy Strategy 2030|https://climate-laws.org/rails/active_storage/blobs/eyJfcmFpbHMiOnsibWVzc2FnZSI6IkJBaHBBck1LIiwiZXhwIjpudWxsLCJwdXIiOiJibG9iX2lkIn19--741a2b2c16b7f39c0b9773a736dfdca0928f6a1b/1594%20Russian.pdf|ru;translation of Energy Strategy 2030|https://climate-laws.org/rails/active_storage/blobs/eyJfcmFpbHMiOnsibWVzc2FnZSI6IkJBaHBBclFLIiwiZXhwIjpudWxsLCJwdXIiOiJibG9iX2lkIn19--d937b6b730d7181bb09e04c3bcf43dd1d4e7c7ca/1594%20English.pdf|en;Full document of Energy Strategy 2035 (pdf)|https://policy.asiapacificenergy.org/sites/default/files/Energy%20Strategy%20of%20the%20Russian%20Federation%20until%202035%20%28Government%20Decree%20No.%201523-P%20of%202020%29%28RU%29.pdf|ru</t>
  </si>
  <si>
    <t>Government Directive No. 2634-r approving the hydrogen roadmap 2021-2024</t>
  </si>
  <si>
    <t>Road Map/Vision</t>
  </si>
  <si>
    <t>12/10/2020|Approved||</t>
  </si>
  <si>
    <t>Link to official website|http://publication.pravo.gov.ru/Document/View/0001202010220027|ru;Link to full text (PDF)|http://static.government.ru/media/files/7b9bstNfV640nCkkAzCRJ9N8k7uhW8mY.pdf|ru</t>
  </si>
  <si>
    <t>National Energy Policy and Energy Action Plan</t>
  </si>
  <si>
    <t>Institutions / Administrative Arrangements;Energy Supply;Energy Demand;Transportation</t>
  </si>
  <si>
    <t>03/09/2019|Law passed</t>
  </si>
  <si>
    <t>Full text|https://climate-laws.org/rails/active_storage/blobs/eyJfcmFpbHMiOnsibWVzc2FnZSI6IkJBaHBBaTRHIiwiZXhwIjpudWxsLCJwdXIiOiJibG9iX2lkIn19--181cbc9ba6612b4ab2af0a6bbbacf6589147cdd2/f|;Full text - part 2|https://climate-laws.org/rails/active_storage/blobs/eyJfcmFpbHMiOnsibWVzc2FnZSI6IkJBaHBBaThHIiwiZXhwIjpudWxsLCJwdXIiOiJibG9iX2lkIn19--0f0a0dc9edbfedd613bb46e6ab1f89834c1a7e3d/f|</t>
  </si>
  <si>
    <t>Samoa Energy Sector Plans 2012 - 2016 and 2017-2022</t>
  </si>
  <si>
    <t>Full text 2012-2016 (pdf)|http://www.lse.ac.uk/GranthamInstitute/wp-content/uploads/laws/4835.pdf|en;Full text 2017-2022 (PDF)|https://climate-laws.org/rails/active_storage/blobs/eyJfcmFpbHMiOnsibWVzc2FnZSI6IkJBaHBBdUFNIiwiZXhwIjpudWxsLCJwdXIiOiJibG9iX2lkIn19--5a4b504b64aa5fc6c30308dc8e36848113af8a2b/2017%20Samoa%20Energy%20Sector%20Plan%202017-2022.pdf|</t>
  </si>
  <si>
    <t>Food Security;Gender</t>
  </si>
  <si>
    <t>Other;Social development</t>
  </si>
  <si>
    <t>01/01/2021|Approved||</t>
  </si>
  <si>
    <t>Link to full text|https://drive.google.com/file/d/119k8U1m5G1_GxrpE_1z7cTpKJZu_Yhbl/view|en;Link to 2016 policy|http://extwprlegs1.fao.org/docs/pdf/sam181186.pdf|en</t>
  </si>
  <si>
    <t>Law no 72 on the promotion of energy efficiency in the housing sector and of renewable energy in the public and industrial sectors</t>
  </si>
  <si>
    <t>Subsidies|Economic;Tax incentives|Economic</t>
  </si>
  <si>
    <t>Agriculture;Energy;Industry;Residential and Commercial</t>
  </si>
  <si>
    <t>07/05/2008|Law passed||</t>
  </si>
  <si>
    <t>Full text|https://climate-laws.org/rails/active_storage/blobs/eyJfcmFpbHMiOnsibWVzc2FnZSI6IkJBaHBBa3dHIiwiZXhwIjpudWxsLCJwdXIiOiJibG9iX2lkIn19--5c9171b1a2498cdb6aed8320d2e6baea133708cb/f|;Full text|https://climate-laws.org/rails/active_storage/blobs/eyJfcmFpbHMiOnsibWVzc2FnZSI6IkJBaHBBazBHIiwiZXhwIjpudWxsLCJwdXIiOiJibG9iX2lkIn19--206b0d71f8d063b4dbf6adfa2b31a41d59fe087c/f|;Full text|https://climate-laws.org/rails/active_storage/blobs/eyJfcmFpbHMiOnsibWVzc2FnZSI6IkJBaHBBazRHIiwiZXhwIjpudWxsLCJwdXIiOiJibG9iX2lkIn19--41b9e1910fa4010bb6dd9935adcb642612cc495c/f|;Full text|https://www.consigliograndeegenerale.sm/contents/instance18/files/document/23711leggi_7321.pdf|en</t>
  </si>
  <si>
    <t>Environmental Code (Delegated Decree no 44 of April 27th, 2012)</t>
  </si>
  <si>
    <t>27/04/2012|Law passed</t>
  </si>
  <si>
    <t>Full text|http://extwprlegs1.fao.org/docs/pdf/smr119781.pdf|;Full text|https://climate-laws.org/rails/active_storage/blobs/eyJfcmFpbHMiOnsibWVzc2FnZSI6IkJBaHBBajBHIiwiZXhwIjpudWxsLCJwdXIiOiJibG9iX2lkIn19--aeab590a94bd3b0980d2d3f4928ba68dd89ba598/f|</t>
  </si>
  <si>
    <t>Saudi Arabia's Vision 2030 and its delivery plan</t>
  </si>
  <si>
    <t>25/04/2016|Law passed||</t>
  </si>
  <si>
    <t>Full text|https://climate-laws.org/rails/active_storage/blobs/eyJfcmFpbHMiOnsibWVzc2FnZSI6IkJBaHBBdXdIIiwiZXhwIjpudWxsLCJwdXIiOiJibG9iX2lkIn19--809308b145fdabc90b5e1c58fcf64b539d390626/f|;Link to delivery plan (PDF)|https://www.vision2030.gov.sa/media/nhyo0lix/ntp_eng_opt.pdf|en</t>
  </si>
  <si>
    <t>Saudi National Water Strategy</t>
  </si>
  <si>
    <t>Water Management;Technology</t>
  </si>
  <si>
    <t>Environment;Social development;Water</t>
  </si>
  <si>
    <t>01/01/2018|Approved||</t>
  </si>
  <si>
    <t>Link to full text on external website|http://extwprlegs1.fao.org/docs/pdf/sau191510.pdf|ar;Official dedicated webpage|https://www.mewa.gov.sa/en/Ministry/Agencies/TheWaterAgency/Topics/Pages/Strategy.aspx|en</t>
  </si>
  <si>
    <t>Decrees No. 2014-880 and No. 2020-2214 on the powers of the Minister of Environment and Sustainable Development</t>
  </si>
  <si>
    <t>Coastal zones;Economy-wide;LULUCF;Water</t>
  </si>
  <si>
    <t>22/07/2014|Law passed||;11/11/2020|Amended||</t>
  </si>
  <si>
    <t>Full text|https://climate-laws.org/rails/active_storage/blobs/eyJfcmFpbHMiOnsibWVzc2FnZSI6IkJBaHBBc0VKIiwiZXhwIjpudWxsLCJwdXIiOiJibG9iX2lkIn19--45f495438649568fbf5a528c50f4e9edf6c7a92a/f|fr;Link to 2020 decree on official website|https://www.sec.gouv.sn/d%C3%A9cret-n%C2%B0-2020-2214-relatif-aux-attributions-du-ministre-de-lenvironnement-et-du-d%C3%A9veloppement|fr</t>
  </si>
  <si>
    <t>Forest Law</t>
  </si>
  <si>
    <t>Capacity building|Governance;MRV|Governance</t>
  </si>
  <si>
    <t>Energy;Environment;LULUCF;Transportation</t>
  </si>
  <si>
    <t>25/12/2010|Law passed</t>
  </si>
  <si>
    <t>Full text - Serbian|https://climate-laws.org/rails/active_storage/blobs/eyJfcmFpbHMiOnsibWVzc2FnZSI6IkJBaHBBcFVIIiwiZXhwIjpudWxsLCJwdXIiOiJibG9iX2lkIn19--3ebe52531f4c7676189310ab75d04f7501321f1f/f|sr;English translation|https://climate-laws.org/rails/active_storage/blobs/eyJfcmFpbHMiOnsibWVzc2FnZSI6IkJBaHBBdHNLIiwiZXhwIjpudWxsLCJwdXIiOiJibG9iX2lkIn19--b67984318a4d1baf2a9433ffc274bc5fbbfed00c/4460%20English.pdf|en</t>
  </si>
  <si>
    <t>Second National Biodiversity Strategy and Action Plan 2017-2026</t>
  </si>
  <si>
    <t>Provision of climate funds|Direct Investment;Nature based solutions and ecosystem restoration|Direct Investment;Processes, plans and strategies|Governance;Subnational and citizen participation|Governance;Education, training and knowledge dissemination|Information</t>
  </si>
  <si>
    <t>Biodiversity;Carbon Sink</t>
  </si>
  <si>
    <t>Agriculture;Coastal zones;Environment;LULUCF</t>
  </si>
  <si>
    <t>01/11/2017|Approved||</t>
  </si>
  <si>
    <t>Link to 2003 version (PDF)|http://extwprlegs1.fao.org/docs/pdf/sie175795.pdf|en;Link to 2017 version|https://www.cbd.int/doc/world/sl/sl-nbsap-v2-en.pdf|en</t>
  </si>
  <si>
    <t>Carbon Pricing Act no 23/2018</t>
  </si>
  <si>
    <t>Disclosure obligations|Regulation;Tax incentives|Economic</t>
  </si>
  <si>
    <t>11/04/2018|Law passed||;29/02/2020|Budget passed||</t>
  </si>
  <si>
    <t>Preparatory 2018 budget |https://climate-laws.org/rails/active_storage/blobs/eyJfcmFpbHMiOnsibWVzc2FnZSI6IkJBaHBBaXdHIiwiZXhwIjpudWxsLCJwdXIiOiJibG9iX2lkIn19--910e64899464fa8858218e8fa24a6a5e1e74af9f/f|en;Link to official website |https://sso.agc.gov.sg/Act/CPA2018|en</t>
  </si>
  <si>
    <t>National Adaptation Strategy, Resolution of the Slovak Government No. 148/2014</t>
  </si>
  <si>
    <t>Capacity building|Governance;MRV|Governance;Education, training and knowledge dissemination|Information</t>
  </si>
  <si>
    <t>Floods;Droughts;Landslides;Wildfires;Heat Waves And Heat Stress;Soil Erosion</t>
  </si>
  <si>
    <t>26/03/2014|Law passed||</t>
  </si>
  <si>
    <t>Full text|https://climate-laws.org/rails/active_storage/blobs/eyJfcmFpbHMiOnsibWVzc2FnZSI6IkJBaHBBbE1HIiwiZXhwIjpudWxsLCJwdXIiOiJibG9iX2lkIn19--4579904050dd65bbbf71496d923f2dbfa699f77a/f|sk;full text (pdf)|http://www.lse.ac.uk/GranthamInstitute/wp-content/uploads/laws/1626.pdf|sk</t>
  </si>
  <si>
    <t>Slovakia's Integrated National Energy and Climate Plan for 2021 to 2030</t>
  </si>
  <si>
    <t>Flood;Drought;Wildfire</t>
  </si>
  <si>
    <t>Agriculture;Buildings;Economy-wide;Energy;Health;Tourism;Transportation;Urban;Waste;Water</t>
  </si>
  <si>
    <t>Full text (PDF)|https://ec.europa.eu/energy/sites/ener/files/sk_final_necp_main_en.pdf|en;Original version (PDF)|https://ec.europa.eu/energy/sites/ener/files/documents/sk_final_necp_main_sk.pdf|sk</t>
  </si>
  <si>
    <t>covid19;Energy Efficiency</t>
  </si>
  <si>
    <t>Buildings;Economy-wide;Industry;Transport</t>
  </si>
  <si>
    <t>EC dedicated page|https://ec.europa.eu/info/business-economy-euro/recovery-coronavirus/recovery-and-resilience-facility/slovakias-recovery-and-resilience-plan_en|en;Link to Council Implementing Decision and Annex|https://www.consilium.europa.eu/en/documents-publications/public-register/public-register-search/results/?WordsInSubject=&amp;WordsInText=&amp;DocumentNumber=10156%2F21&amp;InterinstitutionalFiles=&amp;DocumentDateFrom=&amp;DocumentDateTo=&amp;MeetingDateFrom=&amp;MeetingDateTo=&amp;DocumentLanguage=EN&amp;OrderBy=DOCUMENT_DATE+DESC&amp;ctl00%24ctl00%24cpMain%24cpMain%24btnSubmit=|en;Link to factsheet|https://ec.europa.eu/info/files/factsheet-slovakias-recovery-and-resilience-plan_en|en;National website|https://www.planobnovy.sk|sk</t>
  </si>
  <si>
    <t>Energy Act (Energetski zakon; EZ-1)</t>
  </si>
  <si>
    <t>04/03/2014|Law passed</t>
  </si>
  <si>
    <t>Full text (2005)|https://climate-laws.org/rails/active_storage/blobs/eyJfcmFpbHMiOnsibWVzc2FnZSI6IkJBaHBBa1FIIiwiZXhwIjpudWxsLCJwdXIiOiJibG9iX2lkIn19--4c378d9ffaa8315c8e8bc5d115cb1b9a4a8f874e/f|;Full text (2014)|https://climate-laws.org/rails/active_storage/blobs/eyJfcmFpbHMiOnsibWVzc2FnZSI6IkJBaHBBa1VIIiwiZXhwIjpudWxsLCJwdXIiOiJibG9iX2lkIn19--21d9fec62917885b76a3df9d0fe795e17248e40a/f|</t>
  </si>
  <si>
    <t>Slovenia's integrated National Energy and Climate Plan</t>
  </si>
  <si>
    <t>Flood;Drought;Windstorms</t>
  </si>
  <si>
    <t>Waste;Transportation;Renewables;Transport;Health;Agriculture</t>
  </si>
  <si>
    <t>Agriculture;Buildings;Economy-wide;Energy;Health;Industry;Transportation;Urban;Waste</t>
  </si>
  <si>
    <t>27/02/2020|Approved||</t>
  </si>
  <si>
    <t>Full text (PDF)|https://ec.europa.eu/energy/sites/ener/files/documents/si_final_necp_main_en.pdf|en;Original version (PDF)|https://ec.europa.eu/energy/sites/ener/files/si_final_necp_main_sl.pdf|sl</t>
  </si>
  <si>
    <t>Slovenia’s recovery and resilience plan</t>
  </si>
  <si>
    <t>Buildings;Economy-wide;Energy;Transport;Water</t>
  </si>
  <si>
    <t>Link to council Implementing Decision and Annex|https://www.consilium.europa.eu/en/documents-publications/public-register/public-register-search/results/?WordsInSubject=&amp;WordsInText=&amp;DocumentNumber=10612%2F21&amp;InterinstitutionalFiles=&amp;DocumentDateFrom=&amp;DocumentDateTo=&amp;MeetingDateFrom=&amp;MeetingDateTo=&amp;DocumentLanguage=EN&amp;OrderBy=DOCUMENT_DATE+DESC&amp;ctl00%24ctl00%24cpMain%24cpMain%24btnSubmit=|en;Link to national website|https://www.eu-skladi.si/sl/po-2020/nacrt-za-okrevanje-in-krepitev-odpornosti|sl;RPP documents|https://www.gov.si/zbirke/projekti-in-programi/nacrt-za-okrevanje-in-odpornost|sl;EC factsheet|https://ec.europa.eu/info/files/factsheet-slovenias-recovery-and-resilience-plan_en|en</t>
  </si>
  <si>
    <t>National strategy for coal mining and restructuring in accordance with the principles of a fair transition</t>
  </si>
  <si>
    <t>Coal Mining;coal;Fossil Fuel Phase Out</t>
  </si>
  <si>
    <t>13/01/2022|Approved||</t>
  </si>
  <si>
    <t>Minute from governmental meeting approving the strategy|https://climate-laws.org/rails/active_storage/blobs/eyJfcmFpbHMiOnsibWVzc2FnZSI6IkJBaHBBdk1PIiwiZXhwIjpudWxsLCJwdXIiOiJibG9iX2lkIn19--08ebeaaca6639afdcd00053769de843dfdd97950/sevl109.docx|sl;Unofficial translation|https://climate-laws.org/rails/active_storage/blobs/eyJfcmFpbHMiOnsibWVzc2FnZSI6IkJBaHBBdlFPIiwiZXhwIjpudWxsLCJwdXIiOiJibG9iX2lkIn19--f5bac11fc7f167f394d06db3ed1e8c17a6d3fa07/sevl109-2.docx|en;Full text (PDF)|https://www.energetika-portal.si/fileadmin/dokumenti/publikacije/premog_izhod/strategija_prem_vlada_jan202.pdf|sl</t>
  </si>
  <si>
    <t>National Drought Plan and resilience framework for Somalia</t>
  </si>
  <si>
    <t>Provision of climate funds|Direct Investment;Early warning systems|Direct Investment;Capacity building|Governance;Processes, plans and strategies|Governance;Subnational and citizen participation|Governance;Education, training and knowledge dissemination|Information</t>
  </si>
  <si>
    <t>Framework;Plan</t>
  </si>
  <si>
    <t>Adaptation;Agriculture;Disaster Risk Management (Drm);Environment;Social development</t>
  </si>
  <si>
    <t>25/12/2020|Approved||</t>
  </si>
  <si>
    <t>Link to full text (PDF)|https://knowledge.unccd.int/sites/default/files/country_profile_documents/FINAL%20NATIONAL%20DROUGHT%20PLAN%20FOR%20SOMALIA%28final%29%2016%20Dec%202020%28%20PDF%20version%29.pdf|en;Link to resilience framework (PDF)|https://www.gfdrr.org/sites/default/files/publication/somalia-dina-exec-summary.pdf|en</t>
  </si>
  <si>
    <t>Carbon Emissions Motor Vehicles tax (within 2009-2010 budget)</t>
  </si>
  <si>
    <t>Carbon Pricing;Energy Demand</t>
  </si>
  <si>
    <t>Residential and Commercial;Transportation</t>
  </si>
  <si>
    <t>01/09/2010|Law passed</t>
  </si>
  <si>
    <t>Full text|https://climate-laws.org/rails/active_storage/blobs/eyJfcmFpbHMiOnsibWVzc2FnZSI6IkJBaHBBcllJIiwiZXhwIjpudWxsLCJwdXIiOiJibG9iX2lkIn19--1c7e092b602cd12a07054f1a9b69baa8d4c92361/f|;Full text - part 2|https://climate-laws.org/rails/active_storage/blobs/eyJfcmFpbHMiOnsibWVzc2FnZSI6IkJBaHBBcmNJIiwiZXhwIjpudWxsLCJwdXIiOiJibG9iX2lkIn19--67587d108fc68b8524e9a645e29b0d4c88f60830/f|</t>
  </si>
  <si>
    <t>National Greenhouse Gas Emissions Reporting Regulations, 2016</t>
  </si>
  <si>
    <t>Institutions / Administrative Arrangements;Energy Supply;Redd+ And Lulucf;Transportation;Slc Ps</t>
  </si>
  <si>
    <t>Agriculture;Energy;Industry;LULUCF;Transportation</t>
  </si>
  <si>
    <t>03/04/2017|Law passed||;11/09/2020|Amended||</t>
  </si>
  <si>
    <t>Full text|https://climate-laws.org/rails/active_storage/blobs/eyJfcmFpbHMiOnsibWVzc2FnZSI6IkJBaHBBbzRJIiwiZXhwIjpudWxsLCJwdXIiOiJibG9iX2lkIn19--b321256d5a6643fc10f1a4d13e157c84f3419340/f|en;Link to 2020 amendment on external website (PDF)|http://extwprlegs1.fao.org/docs/pdf/saf199923.pdf|en;Link to GHG declaration on external website (PDF)|http://extwprlegs1.fao.org/docs/pdf/saf176316.pdf|en</t>
  </si>
  <si>
    <t>Disaster Management Act (No. 57)</t>
  </si>
  <si>
    <t>Capacity building|Governance;Institutional mandates|Governance;Subnational and citizen participation|Governance</t>
  </si>
  <si>
    <t>Adaptation;Disaster Risk Management;No Adequate Category</t>
  </si>
  <si>
    <t>15/01/2003|Law passed||</t>
  </si>
  <si>
    <t>Disaster Management Act (2003)|https://climate-laws.org/rails/active_storage/blobs/eyJfcmFpbHMiOnsibWVzc2FnZSI6IkJBaHBBZ1FGIiwiZXhwIjpudWxsLCJwdXIiOiJibG9iX2lkIn19--7d0e69625b2727c7bd111891b684eab06770e276/f|;Disaster Management Act Amendment (2015)|https://climate-laws.org/rails/active_storage/blobs/eyJfcmFpbHMiOnsibWVzc2FnZSI6IkJBaHBBZ1VGIiwiZXhwIjpudWxsLCJwdXIiOiJibG9iX2lkIn19--e0d6d59a5d2bd803a6dd4d20eea5dea25ca2c7bd/f|</t>
  </si>
  <si>
    <t>Integrated Coastal Management Act (No. 24 of 2008)</t>
  </si>
  <si>
    <t>Coastal zones</t>
  </si>
  <si>
    <t>11/02/2009|Law passed||</t>
  </si>
  <si>
    <t>Integrated Coastal Management Act (2008)|https://climate-laws.org/rails/active_storage/blobs/eyJfcmFpbHMiOnsibWVzc2FnZSI6IkJBaHBBdm9FIiwiZXhwIjpudWxsLCJwdXIiOiJibG9iX2lkIn19--0642000646cdeab18300d2010891faf86d32f472/f|;Integrated Coastal Management Act Amendment (2014)|https://climate-laws.org/rails/active_storage/blobs/eyJfcmFpbHMiOnsibWVzc2FnZSI6IkJBaHBBdnNFIiwiZXhwIjpudWxsLCJwdXIiOiJibG9iX2lkIn19--689ee41252913df230db35f3a7a6b6ffc0c3ab80/f|</t>
  </si>
  <si>
    <t>Adaptation;Disaster Risk Management;Mitigation;Loss And Damage</t>
  </si>
  <si>
    <t>Flood;Drought</t>
  </si>
  <si>
    <t>Disaster Risk Management (Drm)</t>
  </si>
  <si>
    <t>15/08/2012|Plan approved||;15/09/2017|Last amended||</t>
  </si>
  <si>
    <t>Link to official website|https://www.gov.za/issues/national-development-plan-2030|en;Executive summary (PDF)|https://climate-laws.org/rails/active_storage/blobs/eyJfcmFpbHMiOnsibWVzc2FnZSI6IkJBaHBBaHNOIiwiZXhwIjpudWxsLCJwdXIiOiJibG9iX2lkIn19--073e4a887e97ae288a5890a98284a445e662c7ce/Executive%20Summary-NDP%202030%20-%20Our%20future%20-%20make%20it%20work.pdf|en</t>
  </si>
  <si>
    <t>Green Transport Strategy (2018-2050)</t>
  </si>
  <si>
    <t>Hydrogen;Aviation;Road;Rail;Ev;Fuels</t>
  </si>
  <si>
    <t>Social development;Transport;Urban</t>
  </si>
  <si>
    <t>25/12/2018|Approved||</t>
  </si>
  <si>
    <t>Link to full text (PDF)|https://www.transport.gov.za/documents/11623/89294/Green_Transport_Strategy_2018_2050_onlineversion.pdf/71e19f1d-259e-4c55-9b27-30db418f105a|en;Link to National Transport Master Plan 2050 page|https://www.transport.gov.za/natmap-2050|en</t>
  </si>
  <si>
    <t>Act on the Allocation and Trading of Greenhouse Gas Emissions Rights regulated by Enforcement Decree of Allocation and Trading of Greenhouse Gas Emissions Rights Act</t>
  </si>
  <si>
    <t>15/11/2012|entry into force of enforcement decree||;01/06/2020|Amended||</t>
  </si>
  <si>
    <t>Full text|https://climate-laws.org/rails/active_storage/blobs/eyJfcmFpbHMiOnsibWVzc2FnZSI6IkJBaHBBck1JIiwiZXhwIjpudWxsLCJwdXIiOiJibG9iX2lkIn19--c465bbadbc173d88ce267d8db9943fb62194160b/f|;Link to full text as of 2020 amendment|https://www.law.go.kr/LSW/lsInfoP.do?efYd=20200601&amp;lsiSeq=215913&amp;ancYd=20200324&amp;nwJoYnInfo=N&amp;ancYnChk=0&amp;ancNo=17104&amp;chrClsCd=010202&amp;efGubun=Y%230000#0000|ko;Link to 2014 master plan (2015-2024)|https://www.moef.go.kr/nw/nes/detailNesDtaView.do?menuNo=4010100&amp;searchNttId1=OLD_4020294&amp;searchBbsId1=MOSFBBS_000000000028|ko;Link to 2019 third allocation plan (2021–2030)|https://ors.gir.go.kr/home/board/read.do?menuId=2&amp;boardMasterId=4&amp;boardId=44|ko</t>
  </si>
  <si>
    <t>Framework Act on Low Carbon Green Growth, regulated by Enforcement Decree of the Framework Act on Low Carbon Green Growth</t>
  </si>
  <si>
    <t>Standards, obligations and norms|Regulation;Capacity building|Governance;Institutional mandates|Governance;Processes, plans and strategies|Governance</t>
  </si>
  <si>
    <t>Economy-wide;Energy;Residential and Commercial;Transportation</t>
  </si>
  <si>
    <t>14/04/2010|Entry into force of enforcement decree||;24/05/2016|Last amendment||</t>
  </si>
  <si>
    <t>Full text (PDF)|https://climate-laws.org/rails/active_storage/blobs/eyJfcmFpbHMiOnsibWVzc2FnZSI6IkJBaHBBdU1IIiwiZXhwIjpudWxsLCJwdXIiOiJibG9iX2lkIn19--d108ba8ba3d14443910b37cf75384baebc56a505/f|ko;Translated version (PDF)|https://climate-laws.org/rails/active_storage/blobs/eyJfcmFpbHMiOnsibWVzc2FnZSI6IkJBaHBBdFVNIiwiZXhwIjpudWxsLCJwdXIiOiJibG9iX2lkIn19--ba28358c34b12f4df68ace4ab06a687ea8daa63c/Framework%20Act%20English.pdf|en</t>
  </si>
  <si>
    <t>Eighth long-term plan for electricity supply and demand and Implementation plan for renewable 20% by 2030</t>
  </si>
  <si>
    <t>29/12/2017|Law passed</t>
  </si>
  <si>
    <t>implementation plan|https://climate-laws.org/rails/active_storage/blobs/eyJfcmFpbHMiOnsibWVzc2FnZSI6IkJBaHBBdDRLIiwiZXhwIjpudWxsLCJwdXIiOiJibG9iX2lkIn19--a26a548c8f3e583f710b721e74937086c463fc42/Implementation-plans-for-renewable-20-by-2030.pdf|ko;8th long term plan|https://climate-laws.org/rails/active_storage/blobs/eyJfcmFpbHMiOnsibWVzc2FnZSI6IkJBaHBBdDhLIiwiZXhwIjpudWxsLCJwdXIiOiJibG9iX2lkIn19--53375c12bcdda28d63305a046a8798e7f6611c27/8th-long-term-plan-for-electricity-supply-and-demand.pdf|ko</t>
  </si>
  <si>
    <t>Energy Master Plan</t>
  </si>
  <si>
    <t>Processes, plans and strategies|Governance;International cooperation|Governance;Education, training and knowledge dissemination|Information</t>
  </si>
  <si>
    <t>Research And Development;Energy Supply;Energy Demand</t>
  </si>
  <si>
    <t>25/12/2008|Law passed||;25/12/2014|Amended||;25/12/2019|Amended||</t>
  </si>
  <si>
    <t>Full text|https://policy.asiapacificenergy.org/sites/default/files/2nd%20Energy%20Master%20Plan.pdf(7-mar-18)|;Link to third energy master plan |https://www.etrans.or.kr/ebook/05/files/assets/common/downloads/Third%20Energy%20Master%20Plan.pdf|en</t>
  </si>
  <si>
    <t>Klimaatagenda: weerbaar,
welvarend en groen</t>
  </si>
  <si>
    <t>Netherlands</t>
  </si>
  <si>
    <t>NLD</t>
  </si>
  <si>
    <t>Dutch</t>
  </si>
  <si>
    <t>https://climate-laws.org/rails/active_storage/blobs/eyJfcmFpbHMiOnsibWVzc2FnZSI6IkJBaHBBc0FHIiwiZXhwIjpudWxsLCJwdXIiOiJibG9iX2lkIn19--77e50ec739aea2ed7233eec6bb1be92f18344800/f|nl</t>
  </si>
  <si>
    <t>https://climate-laws.org/rails/active_storage/blobs/eyJfcmFpbHMiOnsibWVzc2FnZSI6IkJBaHBBc0FHIiwiZXhwIjpudWxsLCJwdXIiOiJibG9iX2lkIn19--77e50ec739aea2ed7233eec6bb1be92f18344800/f</t>
  </si>
  <si>
    <t>Climate Agenda:
resilient, prosperous and green</t>
  </si>
  <si>
    <t>https://climate-laws.org/rails/active_storage/blobs/eyJfcmFpbHMiOnsibWVzc2FnZSI6IkJBaHBBcHNLIiwiZXhwIjpudWxsLCJwdXIiOiJibG9iX2lkIn19--c14b004fcd02b2ac760a6ba9500e320d4bcc284b/1497%20English%20summary.pdf|en</t>
  </si>
  <si>
    <t>https://climate-laws.org/rails/active_storage/blobs/eyJfcmFpbHMiOnsibWVzc2FnZSI6IkJBaHBBcHNLIiwiZXhwIjpudWxsLCJwdXIiOiJibG9iX2lkIn19--c14b004fcd02b2ac760a6ba9500e320d4bcc284b/1497%20English%20summary.pdf</t>
  </si>
  <si>
    <t>Energierapport
Transitie naar duurzaam</t>
  </si>
  <si>
    <t>Energy Report
Transition to sustainable energy</t>
  </si>
  <si>
    <t>https://climate-laws.org/rails/active_storage/blobs/eyJfcmFpbHMiOnsibWVzc2FnZSI6IkJBaHBBaklKIiwiZXhwIjpudWxsLCJwdXIiOiJibG9iX2lkIn19--ca09df14e56864527e2b3e032481e0cb09170053/f|nl</t>
  </si>
  <si>
    <t>https://climate-laws.org/rails/active_storage/blobs/eyJfcmFpbHMiOnsibWVzc2FnZSI6IkJBaHBBaklKIiwiZXhwIjpudWxsLCJwdXIiOiJibG9iX2lkIn19--ca09df14e56864527e2b3e032481e0cb09170053/f</t>
  </si>
  <si>
    <t>https://climate-laws.org/rails/active_storage/blobs/eyJfcmFpbHMiOnsibWVzc2FnZSI6IkJBaHBBcHdLIiwiZXhwIjpudWxsLCJwdXIiOiJibG9iX2lkIn19--b98bdfe375a1de90a1bc7ced716df36f2dde63c3/1499%20English%20summary.pdf|en</t>
  </si>
  <si>
    <t>https://climate-laws.org/rails/active_storage/blobs/eyJfcmFpbHMiOnsibWVzc2FnZSI6IkJBaHBBcHdLIiwiZXhwIjpudWxsLCJwdXIiOiJibG9iX2lkIn19--b98bdfe375a1de90a1bc7ced716df36f2dde63c3/1499%20English%20summary.pdf</t>
  </si>
  <si>
    <t>ENVIRONMENTAL MANAGEMENT ACT</t>
  </si>
  <si>
    <t>https://climate-laws.org/rails/active_storage/blobs/eyJfcmFpbHMiOnsibWVzc2FnZSI6IkJBaHBBakFKIiwiZXhwIjpudWxsLCJwdXIiOiJibG9iX2lkIn19--ae2fa5691e0a281e19a9df8c4938eaf3d20bb177/f|en</t>
  </si>
  <si>
    <t>https://climate-laws.org/rails/active_storage/blobs/eyJfcmFpbHMiOnsibWVzc2FnZSI6IkJBaHBBakFKIiwiZXhwIjpudWxsLCJwdXIiOiJibG9iX2lkIn19--ae2fa5691e0a281e19a9df8c4938eaf3d20bb177/f</t>
  </si>
  <si>
    <t>Wet milieubeheer</t>
  </si>
  <si>
    <t>https://wetten.overheid.nl/BWBR0003245/2020-07-01|nl</t>
  </si>
  <si>
    <t>https://wetten.overheid.nl/BWBR0003245/2020-07-01</t>
  </si>
  <si>
    <t>Elektriciteitswet 1998</t>
  </si>
  <si>
    <t>https://climate-laws.org/rails/active_storage/blobs/eyJfcmFpbHMiOnsibWVzc2FnZSI6IkJBaHBBaTRKIiwiZXhwIjpudWxsLCJwdXIiOiJibG9iX2lkIn19--4ca1983a38474631921e1e384fc7bfd187a28ece/f|</t>
  </si>
  <si>
    <t>https://climate-laws.org/rails/active_storage/blobs/eyJfcmFpbHMiOnsibWVzc2FnZSI6IkJBaHBBaTRKIiwiZXhwIjpudWxsLCJwdXIiOiJibG9iX2lkIn19--4ca1983a38474631921e1e384fc7bfd187a28ece/f</t>
  </si>
  <si>
    <t>Wijziging van de Elektriciteitswet 1998 en van
de Gaswet (voortgang energietransitie)</t>
  </si>
  <si>
    <t>https://climate-laws.org/rails/active_storage/blobs/eyJfcmFpbHMiOnsibWVzc2FnZSI6IkJBaHBBaThKIiwiZXhwIjpudWxsLCJwdXIiOiJibG9iX2lkIn19--b8adb582f27888572ab7c514ff8fe8d4e6ae753c/f|</t>
  </si>
  <si>
    <t>https://climate-laws.org/rails/active_storage/blobs/eyJfcmFpbHMiOnsibWVzc2FnZSI6IkJBaHBBaThKIiwiZXhwIjpudWxsLCJwdXIiOiJibG9iX2lkIn19--b8adb582f27888572ab7c514ff8fe8d4e6ae753c/f</t>
  </si>
  <si>
    <t>Klimaatwet aangenomen door Eerste Kamer</t>
  </si>
  <si>
    <t>https://www.eerstekamer.nl/nieuws/20190528/klimaatwet_aangenomen_door_eerste|nl</t>
  </si>
  <si>
    <t>https://www.eerstekamer.nl/nieuws/20190528/klimaatwet_aangenomen_door_eerste</t>
  </si>
  <si>
    <t>Klimaatwet</t>
  </si>
  <si>
    <t>Climate Act</t>
  </si>
  <si>
    <t>https://wetten.overheid.nl/BWBR0042394/2020-01-01|nl</t>
  </si>
  <si>
    <t>https://wetten.overheid.nl/BWBR0042394/2020-01-01</t>
  </si>
  <si>
    <t xml:space="preserve">Klimaatwet
</t>
  </si>
  <si>
    <t>https://climate-laws.org/rails/active_storage/blobs/eyJfcmFpbHMiOnsibWVzc2FnZSI6IkJBaHBBaThNIiwiZXhwIjpudWxsLCJwdXIiOiJibG9iX2lkIn19--c85adb7ba657569ead9023707fbc96241e3fb034/NLD108819.pdf|nl</t>
  </si>
  <si>
    <t>https://climate-laws.org/rails/active_storage/blobs/eyJfcmFpbHMiOnsibWVzc2FnZSI6IkJBaHBBaThNIiwiZXhwIjpudWxsLCJwdXIiOiJibG9iX2lkIn19--c85adb7ba657569ead9023707fbc96241e3fb034/NLD108819.pdf</t>
  </si>
  <si>
    <t>Energieakkoord voor duurzame groei</t>
  </si>
  <si>
    <t>Accord</t>
  </si>
  <si>
    <t>https://www.rijksoverheid.nl/documenten/convenanten/2013/09/06/energieakkoord-voor-duurzame-groei|nl</t>
  </si>
  <si>
    <t>https://www.rijksoverheid.nl/documenten/convenanten/2013/09/06/energieakkoord-voor-duurzame-groei</t>
  </si>
  <si>
    <t>Energieakkoord</t>
  </si>
  <si>
    <t>https://www.rvo.nl/onderwerpen/duurzaam-ondernemen/energieakkoord|nl</t>
  </si>
  <si>
    <t>https://www.rvo.nl/onderwerpen/duurzaam-ondernemen/energieakkoord</t>
  </si>
  <si>
    <t>Government Strategy on Hydrogen</t>
  </si>
  <si>
    <t>https://climate-laws.org/rails/active_storage/blobs/eyJfcmFpbHMiOnsibWVzc2FnZSI6IkJBaHBBaFFNIiwiZXhwIjpudWxsLCJwdXIiOiJibG9iX2lkIn19--118aa0582fd5b4db5c988ec106e81583f5a01d03/Hydrogen-Strategy-TheNetherlands.pdf|en</t>
  </si>
  <si>
    <t>https://climate-laws.org/rails/active_storage/blobs/eyJfcmFpbHMiOnsibWVzc2FnZSI6IkJBaHBBaFFNIiwiZXhwIjpudWxsLCJwdXIiOiJibG9iX2lkIn19--118aa0582fd5b4db5c988ec106e81583f5a01d03/Hydrogen-Strategy-TheNetherlands.pdf</t>
  </si>
  <si>
    <t>Kabinetsvisie waterstof</t>
  </si>
  <si>
    <t>Cabinet Vision on Hydrogen</t>
  </si>
  <si>
    <t>https://climate-laws.org/rails/active_storage/blobs/eyJfcmFpbHMiOnsibWVzc2FnZSI6IkJBaHBBaFVNIiwiZXhwIjpudWxsLCJwdXIiOiJibG9iX2lkIn19--bac3cdc9130808b6be4a2323ecee9903a2fee036/Brief+kabinetsvisie+waterstof+.pdf|nl</t>
  </si>
  <si>
    <t>https://climate-laws.org/rails/active_storage/blobs/eyJfcmFpbHMiOnsibWVzc2FnZSI6IkJBaHBBaFVNIiwiZXhwIjpudWxsLCJwdXIiOiJibG9iX2lkIn19--bac3cdc9130808b6be4a2323ecee9903a2fee036/Brief+kabinetsvisie+waterstof+.pdf</t>
  </si>
  <si>
    <t>Integrated National
Energy and Climate
Plan</t>
  </si>
  <si>
    <t>https://ec.europa.eu/energy/sites/ener/files/documents/nl_final_necp_main_en.pdf|en</t>
  </si>
  <si>
    <t>https://ec.europa.eu/energy/sites/ener/files/documents/nl_final_necp_main_en.pdf</t>
  </si>
  <si>
    <t>Integraal Nationaal
Energie- en Klimaatplan</t>
  </si>
  <si>
    <t>https://ec.europa.eu/energy/sites/ener/files/documents/nl_final_necp_main_nl.pdf|nl</t>
  </si>
  <si>
    <t>https://ec.europa.eu/energy/sites/ener/files/documents/nl_final_necp_main_nl.pdf</t>
  </si>
  <si>
    <t>Climate Change Response Act 2002</t>
  </si>
  <si>
    <t>New Zealand</t>
  </si>
  <si>
    <t>NZL</t>
  </si>
  <si>
    <t>https://climate-laws.org/rails/active_storage/blobs/eyJfcmFpbHMiOnsibWVzc2FnZSI6IkJBaHBBcGtHIiwiZXhwIjpudWxsLCJwdXIiOiJibG9iX2lkIn19--a085e5c6e37040e3f55851174c5b0d3c101b8028/f|en</t>
  </si>
  <si>
    <t>https://climate-laws.org/rails/active_storage/blobs/eyJfcmFpbHMiOnsibWVzc2FnZSI6IkJBaHBBcGtHIiwiZXhwIjpudWxsLCJwdXIiOiJibG9iX2lkIn19--a085e5c6e37040e3f55851174c5b0d3c101b8028/f</t>
  </si>
  <si>
    <t>Climate Change Response (Zero Carbon) Amendment Act 2019</t>
  </si>
  <si>
    <t>http://www.legislation.govt.nz/act/public/2019/0061/latest/LMS183736.html|en</t>
  </si>
  <si>
    <t>http://www.legislation.govt.nz/act/public/2019/0061/latest/LMS183736.html</t>
  </si>
  <si>
    <t>Climate Change Response (Emissions Trading Reform) Amendment Act 2020</t>
  </si>
  <si>
    <t>https://www.legislation.govt.nz/act/public/2020/0022/latest/whole.html#LMS143384|en</t>
  </si>
  <si>
    <t>https://www.legislation.govt.nz/act/public/2020/0022/latest/whole.html#LMS143384</t>
  </si>
  <si>
    <t>LEY PARA LA PROMOCIÓN DE GENERACIÓN
ELÉCTRICA CON FUENTES RENOVABLES</t>
  </si>
  <si>
    <t>Law for the promotion of electricity generation with renewable sources</t>
  </si>
  <si>
    <t>Nicaragua</t>
  </si>
  <si>
    <t>NIC</t>
  </si>
  <si>
    <t>https://climate-laws.org/rails/active_storage/blobs/eyJfcmFpbHMiOnsibWVzc2FnZSI6IkJBaHBBdGtHIiwiZXhwIjpudWxsLCJwdXIiOiJibG9iX2lkIn19--a6e822a0c5c2c6327585e765691de458e5aacf8d/f|es</t>
  </si>
  <si>
    <t>https://climate-laws.org/rails/active_storage/blobs/eyJfcmFpbHMiOnsibWVzc2FnZSI6IkJBaHBBdGtHIiwiZXhwIjpudWxsLCJwdXIiOiJibG9iX2lkIn19--a6e822a0c5c2c6327585e765691de458e5aacf8d/f</t>
  </si>
  <si>
    <t xml:space="preserve">
LEY DE REFORMA Y ADICIÓN A LA LEY N°. 532, LEY PARA LA PROMOCIÓN DE GENERACIÓN ELÉCTRICA CON FUENTES RENOVABLES Y SUS REFORMAS</t>
  </si>
  <si>
    <t>http://legislacion.asamblea.gob.ni/Normaweb.nsf/9e314815a08d4a6206257265005d21f9/078da66d26d90c6a062585e0007bbf00?OpenDocument|es</t>
  </si>
  <si>
    <t>http://legislacion.asamblea.gob.ni/Normaweb.nsf/9e314815a08d4a6206257265005d21f9/078da66d26d90c6a062585e0007bbf00?OpenDocument</t>
  </si>
  <si>
    <t>NORMATIVA DE GENERACIÓN DISTRIBUIDA RENOVABLE PARA AUTOCONSUMO</t>
  </si>
  <si>
    <t>http://extwprlegs1.fao.org/docs/pdf/nic177015.pdf|es</t>
  </si>
  <si>
    <t>http://extwprlegs1.fao.org/docs/pdf/nic177015.pdf</t>
  </si>
  <si>
    <t>Ley N°. 1011 Ley de Reforma a la Ley N°. 272, Ley de la Industria Eléctrica y sus Reformas</t>
  </si>
  <si>
    <t>https://ni.vlex.com/vid/ley-n-1011-ley-830230069|es</t>
  </si>
  <si>
    <t>https://ni.vlex.com/vid/ley-n-1011-ley-830230069</t>
  </si>
  <si>
    <t>LEY DE LA INDUSTRIA ELECTRICA</t>
  </si>
  <si>
    <t>http://www.cndc.org.ni/publicaciones/Ley%20272,%20Ley%20de%20Industria%20Electrica.pdf|es</t>
  </si>
  <si>
    <t>http://www.cndc.org.ni/publicaciones/Ley%20272,%20Ley%20de%20Industria%20Electrica.pdf</t>
  </si>
  <si>
    <t>Bouncing Back: Nigeria Economic Sustainability Plan</t>
  </si>
  <si>
    <t>Nigeria</t>
  </si>
  <si>
    <t>NGA</t>
  </si>
  <si>
    <t>https://climate-laws.org/rails/active_storage/blobs/eyJfcmFpbHMiOnsibWVzc2FnZSI6IkJBaHBBa3dNIiwiZXhwIjpudWxsLCJwdXIiOiJibG9iX2lkIn19--9659ffe263bdc33a50fd9b20983805ab28c57667/ESC-Plan-compressed-1.pdf|en</t>
  </si>
  <si>
    <t>https://climate-laws.org/rails/active_storage/blobs/eyJfcmFpbHMiOnsibWVzc2FnZSI6IkJBaHBBa3dNIiwiZXhwIjpudWxsLCJwdXIiOiJibG9iX2lkIn19--9659ffe263bdc33a50fd9b20983805ab28c57667/ESC-Plan-compressed-1.pdf</t>
  </si>
  <si>
    <t>What You Need to Know About the Nigeria Economic Sustainability Plan</t>
  </si>
  <si>
    <t>Press release / plan?</t>
  </si>
  <si>
    <t>https://statehouse.gov.ng/news/what-you-need-to-know-about-the-nigeria-economic-sustainability-plan/|en</t>
  </si>
  <si>
    <t>https://statehouse.gov.ng/news/what-you-need-to-know-about-the-nigeria-economic-sustainability-plan/</t>
  </si>
  <si>
    <t>Klimatilpasning i Norge</t>
  </si>
  <si>
    <t>Norway</t>
  </si>
  <si>
    <t>NOR</t>
  </si>
  <si>
    <t>Norwegian</t>
  </si>
  <si>
    <t>https://climate-laws.org/rails/active_storage/blobs/eyJfcmFpbHMiOnsibWVzc2FnZSI6IkJBaHBBcDRLIiwiZXhwIjpudWxsLCJwdXIiOiJibG9iX2lkIn19--77413658dc6ebc93ca4f7f269ab83bbed3584e63/1518%20Norwegian.pdf|no</t>
  </si>
  <si>
    <t>https://climate-laws.org/rails/active_storage/blobs/eyJfcmFpbHMiOnsibWVzc2FnZSI6IkJBaHBBcDRLIiwiZXhwIjpudWxsLCJwdXIiOiJibG9iX2lkIn19--77413658dc6ebc93ca4f7f269ab83bbed3584e63/1518%20Norwegian.pdf</t>
  </si>
  <si>
    <t>Climate change adaptation
in Norway</t>
  </si>
  <si>
    <t>https://climate-laws.org/rails/active_storage/blobs/eyJfcmFpbHMiOnsibWVzc2FnZSI6IkJBaHBBcDhLIiwiZXhwIjpudWxsLCJwdXIiOiJibG9iX2lkIn19--3ae56dae347387db1b28d74c309849f18d6542dd/1518%20English.pdf|en</t>
  </si>
  <si>
    <t>https://climate-laws.org/rails/active_storage/blobs/eyJfcmFpbHMiOnsibWVzc2FnZSI6IkJBaHBBcDhLIiwiZXhwIjpudWxsLCJwdXIiOiJibG9iX2lkIn19--3ae56dae347387db1b28d74c309849f18d6542dd/1518%20English.pdf</t>
  </si>
  <si>
    <t>Lov om elsertifikater</t>
  </si>
  <si>
    <t>https://climate-laws.org/rails/active_storage/blobs/eyJfcmFpbHMiOnsibWVzc2FnZSI6IkJBaHBBcUFLIiwiZXhwIjpudWxsLCJwdXIiOiJibG9iX2lkIn19--8511db02d55e96d4c199bfaa8698a044ba0ae50f/1520%20Norwegian.pdf|no</t>
  </si>
  <si>
    <t>https://climate-laws.org/rails/active_storage/blobs/eyJfcmFpbHMiOnsibWVzc2FnZSI6IkJBaHBBcUFLIiwiZXhwIjpudWxsLCJwdXIiOiJibG9iX2lkIn19--8511db02d55e96d4c199bfaa8698a044ba0ae50f/1520%20Norwegian.pdf</t>
  </si>
  <si>
    <t>No. 39: Act on elcertificate</t>
  </si>
  <si>
    <t>https://climate-laws.org/rails/active_storage/blobs/eyJfcmFpbHMiOnsibWVzc2FnZSI6IkJBaHBBcUVLIiwiZXhwIjpudWxsLCJwdXIiOiJibG9iX2lkIn19--71528f384cb24f400ae4f869a78dd2bb73d85813/1520%20English.pdf|en</t>
  </si>
  <si>
    <t>https://climate-laws.org/rails/active_storage/blobs/eyJfcmFpbHMiOnsibWVzc2FnZSI6IkJBaHBBcUVLIiwiZXhwIjpudWxsLCJwdXIiOiJibG9iX2lkIn19--71528f384cb24f400ae4f869a78dd2bb73d85813/1520%20English.pdf</t>
  </si>
  <si>
    <t>VAT act of 19 June 2009 no. 58</t>
  </si>
  <si>
    <t>https://climate-laws.org/rails/active_storage/blobs/eyJfcmFpbHMiOnsibWVzc2FnZSI6IkJBaHBBcUlLIiwiZXhwIjpudWxsLCJwdXIiOiJibG9iX2lkIn19--ee408a3d4cee4f460ef140af4e618a0b2841a428/1522%20English.pdf|en</t>
  </si>
  <si>
    <t>https://climate-laws.org/rails/active_storage/blobs/eyJfcmFpbHMiOnsibWVzc2FnZSI6IkJBaHBBcUlLIiwiZXhwIjpudWxsLCJwdXIiOiJibG9iX2lkIn19--ee408a3d4cee4f460ef140af4e618a0b2841a428/1522%20English.pdf</t>
  </si>
  <si>
    <t>Lov om merverdiavgift (merverdiavgiftsloven)</t>
  </si>
  <si>
    <t>https://climate-laws.org/rails/active_storage/blobs/eyJfcmFpbHMiOnsibWVzc2FnZSI6IkJBaHBBcU1LIiwiZXhwIjpudWxsLCJwdXIiOiJibG9iX2lkIn19--dc6b8ef2c6715e8bfb994cecca7849534b46c135/1522%20Norwegian.pdf|no</t>
  </si>
  <si>
    <t>https://climate-laws.org/rails/active_storage/blobs/eyJfcmFpbHMiOnsibWVzc2FnZSI6IkJBaHBBcU1LIiwiZXhwIjpudWxsLCJwdXIiOiJibG9iX2lkIn19--dc6b8ef2c6715e8bfb994cecca7849534b46c135/1522%20Norwegian.pdf</t>
  </si>
  <si>
    <t>Lov om planlegging og byggesaksbehandling (plan-og bygningsloven)</t>
  </si>
  <si>
    <t>https://climate-laws.org/rails/active_storage/blobs/eyJfcmFpbHMiOnsibWVzc2FnZSI6IkJBaHBBcVlLIiwiZXhwIjpudWxsLCJwdXIiOiJibG9iX2lkIn19--419046d5d1759bfbf63918e5dc839a7cb72a82dd/1523%20Norwegian.pdf|no</t>
  </si>
  <si>
    <t>https://climate-laws.org/rails/active_storage/blobs/eyJfcmFpbHMiOnsibWVzc2FnZSI6IkJBaHBBcVlLIiwiZXhwIjpudWxsLCJwdXIiOiJibG9iX2lkIn19--419046d5d1759bfbf63918e5dc839a7cb72a82dd/1523%20Norwegian.pdf</t>
  </si>
  <si>
    <t>Planning and Building Act (2008)</t>
  </si>
  <si>
    <t>https://climate-laws.org/rails/active_storage/blobs/eyJfcmFpbHMiOnsibWVzc2FnZSI6IkJBaHBBcWNLIiwiZXhwIjpudWxsLCJwdXIiOiJibG9iX2lkIn19--e9aa54acdf82c3cc29a51fd230fb2c179c88cfbd/1523%20English.pdf|en</t>
  </si>
  <si>
    <t>https://climate-laws.org/rails/active_storage/blobs/eyJfcmFpbHMiOnsibWVzc2FnZSI6IkJBaHBBcWNLIiwiZXhwIjpudWxsLCJwdXIiOiJibG9iX2lkIn19--e9aa54acdf82c3cc29a51fd230fb2c179c88cfbd/1523%20English.pdf</t>
  </si>
  <si>
    <t>Lov om kvoteplikt og handel med kvoter for utslipp av klimagasser (klimakvoteloven)</t>
  </si>
  <si>
    <t>Greenhouse Gas Emission Trading Act</t>
  </si>
  <si>
    <t>https://climate-laws.org/rails/active_storage/blobs/eyJfcmFpbHMiOnsibWVzc2FnZSI6IkJBaHBBcVFLIiwiZXhwIjpudWxsLCJwdXIiOiJibG9iX2lkIn19--f56c7288497937c6c9bf5b05776ee5ebdac0edb5/1524%20Norwegian.pdf|no</t>
  </si>
  <si>
    <t>https://climate-laws.org/rails/active_storage/blobs/eyJfcmFpbHMiOnsibWVzc2FnZSI6IkJBaHBBcVFLIiwiZXhwIjpudWxsLCJwdXIiOiJibG9iX2lkIn19--f56c7288497937c6c9bf5b05776ee5ebdac0edb5/1524%20Norwegian.pdf</t>
  </si>
  <si>
    <t>https://climate-laws.org/rails/active_storage/blobs/eyJfcmFpbHMiOnsibWVzc2FnZSI6IkJBaHBBcVVLIiwiZXhwIjpudWxsLCJwdXIiOiJibG9iX2lkIn19--fe9054eee9071f0e59037b630f2ec671fc401341/1524%20English.pdf|en</t>
  </si>
  <si>
    <t>https://climate-laws.org/rails/active_storage/blobs/eyJfcmFpbHMiOnsibWVzc2FnZSI6IkJBaHBBcVVLIiwiZXhwIjpudWxsLCJwdXIiOiJibG9iX2lkIn19--fe9054eee9071f0e59037b630f2ec671fc401341/1524%20English.pdf</t>
  </si>
  <si>
    <t>https://climate-laws.org/rails/active_storage/blobs/eyJfcmFpbHMiOnsibWVzc2FnZSI6IkJBaHBBcWdLIiwiZXhwIjpudWxsLCJwdXIiOiJibG9iX2lkIn19--d5df5d1fce672e2440ee54c285dacf2c084b16c3/1525%20Norwegian.pdf|no</t>
  </si>
  <si>
    <t>https://climate-laws.org/rails/active_storage/blobs/eyJfcmFpbHMiOnsibWVzc2FnZSI6IkJBaHBBcWdLIiwiZXhwIjpudWxsLCJwdXIiOiJibG9iX2lkIn19--d5df5d1fce672e2440ee54c285dacf2c084b16c3/1525%20Norwegian.pdf</t>
  </si>
  <si>
    <t>https://climate-laws.org/rails/active_storage/blobs/eyJfcmFpbHMiOnsibWVzc2FnZSI6IkJBaHBBcWtLIiwiZXhwIjpudWxsLCJwdXIiOiJibG9iX2lkIn19--ddb8c62f1d55f3281997a549f6c7edfe0597f3cb/1525%20English.pdf|en</t>
  </si>
  <si>
    <t>https://climate-laws.org/rails/active_storage/blobs/eyJfcmFpbHMiOnsibWVzc2FnZSI6IkJBaHBBcWtLIiwiZXhwIjpudWxsLCJwdXIiOiJibG9iX2lkIn19--ddb8c62f1d55f3281997a549f6c7edfe0597f3cb/1525%20English.pdf</t>
  </si>
  <si>
    <t>Lov om kontroll med produkter og forbrukertjenester</t>
  </si>
  <si>
    <t>https://climate-laws.org/rails/active_storage/blobs/eyJfcmFpbHMiOnsibWVzc2FnZSI6IkJBaHBBcW9LIiwiZXhwIjpudWxsLCJwdXIiOiJibG9iX2lkIn19--1765b726cc9e1eb6a296da95a223479022dc35b7/1526%20Norwegian.pdf|no</t>
  </si>
  <si>
    <t>https://climate-laws.org/rails/active_storage/blobs/eyJfcmFpbHMiOnsibWVzc2FnZSI6IkJBaHBBcW9LIiwiZXhwIjpudWxsLCJwdXIiOiJibG9iX2lkIn19--1765b726cc9e1eb6a296da95a223479022dc35b7/1526%20Norwegian.pdf</t>
  </si>
  <si>
    <t>Product Control Act</t>
  </si>
  <si>
    <t>https://climate-laws.org/rails/active_storage/blobs/eyJfcmFpbHMiOnsibWVzc2FnZSI6IkJBaHBBcXNLIiwiZXhwIjpudWxsLCJwdXIiOiJibG9iX2lkIn19--5f08400daf7186ee8b5272fb773edd381ee37166/1526%20English.pdf|en</t>
  </si>
  <si>
    <t>https://climate-laws.org/rails/active_storage/blobs/eyJfcmFpbHMiOnsibWVzc2FnZSI6IkJBaHBBcXNLIiwiZXhwIjpudWxsLCJwdXIiOiJibG9iX2lkIn19--5f08400daf7186ee8b5272fb773edd381ee37166/1526%20English.pdf</t>
  </si>
  <si>
    <t>Lov om erstatning for naturskader
(naturskadeerstatningsloven)</t>
  </si>
  <si>
    <t>https://climate-laws.org/rails/active_storage/blobs/eyJfcmFpbHMiOnsibWVzc2FnZSI6IkJBaHBBdVlFIiwiZXhwIjpudWxsLCJwdXIiOiJibG9iX2lkIn19--960b3f45c4eee536b61c641ab23848c512bcd633/f|</t>
  </si>
  <si>
    <t>https://climate-laws.org/rails/active_storage/blobs/eyJfcmFpbHMiOnsibWVzc2FnZSI6IkJBaHBBdVlFIiwiZXhwIjpudWxsLCJwdXIiOiJibG9iX2lkIn19--960b3f45c4eee536b61c641ab23848c512bcd633/f</t>
  </si>
  <si>
    <t>Act on compensation for natural damage (Natural
Damage Compensation Act)</t>
  </si>
  <si>
    <t>https://climate-laws.org/rails/active_storage/blobs/eyJfcmFpbHMiOnsibWVzc2FnZSI6IkJBaHBBdWNFIiwiZXhwIjpudWxsLCJwdXIiOiJibG9iX2lkIn19--fb0771eaad3288f1a37ffad8739bd068510b2812/f|</t>
  </si>
  <si>
    <t>https://climate-laws.org/rails/active_storage/blobs/eyJfcmFpbHMiOnsibWVzc2FnZSI6IkJBaHBBdWNFIiwiZXhwIjpudWxsLCJwdXIiOiJibG9iX2lkIn19--fb0771eaad3288f1a37ffad8739bd068510b2812/f</t>
  </si>
  <si>
    <t>https://climate-laws.org/rails/active_storage/blobs/eyJfcmFpbHMiOnsibWVzc2FnZSI6IkJBaHBBZzBGIiwiZXhwIjpudWxsLCJwdXIiOiJibG9iX2lkIn19--e99bcd711aa26fd20736b1efc02872043dea4089/f|</t>
  </si>
  <si>
    <t>https://climate-laws.org/rails/active_storage/blobs/eyJfcmFpbHMiOnsibWVzc2FnZSI6IkJBaHBBZzBGIiwiZXhwIjpudWxsLCJwdXIiOiJibG9iX2lkIn19--e99bcd711aa26fd20736b1efc02872043dea4089/f</t>
  </si>
  <si>
    <t>Myanmar Climate Change Policy</t>
  </si>
  <si>
    <t>Myanmar</t>
  </si>
  <si>
    <t>MMR</t>
  </si>
  <si>
    <t>Burmese</t>
  </si>
  <si>
    <t>https://climate-laws.org/rails/active_storage/blobs/eyJfcmFpbHMiOnsibWVzc2FnZSI6IkJBaHBBaVlGIiwiZXhwIjpudWxsLCJwdXIiOiJibG9iX2lkIn19--f9bc8211106756c1708a9803d9573098a6f15a5f/f|</t>
  </si>
  <si>
    <t>https://climate-laws.org/rails/active_storage/blobs/eyJfcmFpbHMiOnsibWVzc2FnZSI6IkJBaHBBaVlGIiwiZXhwIjpudWxsLCJwdXIiOiJibG9iX2lkIn19--f9bc8211106756c1708a9803d9573098a6f15a5f/f</t>
  </si>
  <si>
    <t>https://climate-laws.org/rails/active_storage/blobs/eyJfcmFpbHMiOnsibWVzc2FnZSI6IkJBaHBBdVFFIiwiZXhwIjpudWxsLCJwdXIiOiJibG9iX2lkIn19--9c9c266722149850b8440d9f48753b1401ab798f/f|</t>
  </si>
  <si>
    <t>https://climate-laws.org/rails/active_storage/blobs/eyJfcmFpbHMiOnsibWVzc2FnZSI6IkJBaHBBdVFFIiwiZXhwIjpudWxsLCJwdXIiOiJibG9iX2lkIn19--9c9c266722149850b8440d9f48753b1401ab798f/f</t>
  </si>
  <si>
    <t>https://climate-laws.org/rails/active_storage/blobs/eyJfcmFpbHMiOnsibWVzc2FnZSI6IkJBaHBBdVVFIiwiZXhwIjpudWxsLCJwdXIiOiJibG9iX2lkIn19--d146c893cb6bd7436f61dc93860e221d736fde27/f|</t>
  </si>
  <si>
    <t>https://climate-laws.org/rails/active_storage/blobs/eyJfcmFpbHMiOnsibWVzc2FnZSI6IkJBaHBBdVVFIiwiZXhwIjpudWxsLCJwdXIiOiJibG9iX2lkIn19--d146c893cb6bd7436f61dc93860e221d736fde27/f</t>
  </si>
  <si>
    <t>Norway’s comprehensive climate action plan</t>
  </si>
  <si>
    <t>https://www.regjeringen.no/en/aktuelt/heilskapeleg-plan-for-a-na-klimamalet/id2827600/|en</t>
  </si>
  <si>
    <t>https://www.regjeringen.no/en/aktuelt/heilskapeleg-plan-for-a-na-klimamalet/id2827600/</t>
  </si>
  <si>
    <t>Oversikt over alle regjeringa vil-punkta i meldinga</t>
  </si>
  <si>
    <t>https://www.regjeringen.no/contentassets/202fec60ac844d4ca7d53d65b6b9ac9c/alle-regjeringa-vil-punkt-i-meldinga.pdf|no</t>
  </si>
  <si>
    <t>https://www.regjeringen.no/contentassets/202fec60ac844d4ca7d53d65b6b9ac9c/alle-regjeringa-vil-punkt-i-meldinga.pdf</t>
  </si>
  <si>
    <t>رؤية عمان 2040</t>
  </si>
  <si>
    <t>Oman Vision 2040</t>
  </si>
  <si>
    <t>Oman</t>
  </si>
  <si>
    <t>OMN</t>
  </si>
  <si>
    <t>http://extwprlegs1.fao.org/docs/pdf/oma201987.pdf|ar</t>
  </si>
  <si>
    <t>http://extwprlegs1.fao.org/docs/pdf/oma201987.pdf</t>
  </si>
  <si>
    <t>https://isfu.gov.om/2040/Vision_Documents_En.pdf|en</t>
  </si>
  <si>
    <t>https://isfu.gov.om/2040/Vision_Documents_En.pdf</t>
  </si>
  <si>
    <t>Decreta Que crea un programa de incentivos para la cobertura forestal y la conservación de bosques naturales, y dicta otras disposiciones</t>
  </si>
  <si>
    <t>Panama</t>
  </si>
  <si>
    <t>PAN</t>
  </si>
  <si>
    <t>https://climate-laws.org/rails/active_storage/blobs/eyJfcmFpbHMiOnsibWVzc2FnZSI6IkJBaHBBdkFGIiwiZXhwIjpudWxsLCJwdXIiOiJibG9iX2lkIn19--4ee8702fdb83b8b08e9e70fd78048168434f332c/f|</t>
  </si>
  <si>
    <t>https://climate-laws.org/rails/active_storage/blobs/eyJfcmFpbHMiOnsibWVzc2FnZSI6IkJBaHBBdkFGIiwiZXhwIjpudWxsLCJwdXIiOiJibG9iX2lkIn19--4ee8702fdb83b8b08e9e70fd78048168434f332c/f</t>
  </si>
  <si>
    <t>https://www.gacetaoficial.gob.pa/pdfTemp/28397_C/64285.pdf|</t>
  </si>
  <si>
    <t>https://www.gacetaoficial.gob.pa/pdfTemp/28397_C/64285.pdf</t>
  </si>
  <si>
    <t xml:space="preserve">Resolución de Gabinete N° 103: QUE APRUEBA LA ESTRATEGIA NACIONAL DE MOVILIDAD ELÉCTRICA (ENME) </t>
  </si>
  <si>
    <t>https://climate-laws.org/rails/active_storage/blobs/eyJfcmFpbHMiOnsibWVzc2FnZSI6IkJBaHBBaDBOIiwiZXhwIjpudWxsLCJwdXIiOiJibG9iX2lkIn19--38b8fc3035a1eb1c86f76ad93a35fd5735b16fb3/GacetaNo_28891c_20191028.pdf|es</t>
  </si>
  <si>
    <t>https://climate-laws.org/rails/active_storage/blobs/eyJfcmFpbHMiOnsibWVzc2FnZSI6IkJBaHBBaDBOIiwiZXhwIjpudWxsLCJwdXIiOiJibG9iX2lkIn19--38b8fc3035a1eb1c86f76ad93a35fd5735b16fb3/GacetaNo_28891c_20191028.pdf</t>
  </si>
  <si>
    <t>ESTRATEGIA NACIONAL DE MOVILIDAD ELÉCTRICA PANAMÁ</t>
  </si>
  <si>
    <t>https://climate-laws.org/rails/active_storage/blobs/eyJfcmFpbHMiOnsibWVzc2FnZSI6IkJBaHBBaDROIiwiZXhwIjpudWxsLCJwdXIiOiJibG9iX2lkIn19--8766c6b890d9bc810699cc595c13b924a90eb960/GacetStrat.pdf|es</t>
  </si>
  <si>
    <t>https://climate-laws.org/rails/active_storage/blobs/eyJfcmFpbHMiOnsibWVzc2FnZSI6IkJBaHBBaDROIiwiZXhwIjpudWxsLCJwdXIiOiJibG9iX2lkIn19--8766c6b890d9bc810699cc595c13b924a90eb960/GacetStrat.pdf</t>
  </si>
  <si>
    <t>Decreto Ejecutivo no 34: Que aprueba la Estrategia Nacional de Cambio Climático 2050</t>
  </si>
  <si>
    <t>http://extwprlegs1.fao.org/docs/pdf/pan190115.pdf|es</t>
  </si>
  <si>
    <t>http://extwprlegs1.fao.org/docs/pdf/pan190115.pdf</t>
  </si>
  <si>
    <t>Estrategia Nacional de Cambio Climático 2050</t>
  </si>
  <si>
    <t>https://www.pa.undp.org/content/panama/es/home/library/environment_energy/estrategia-nacional-de-cambio-climatico-2050.html|es</t>
  </si>
  <si>
    <t>https://www.pa.undp.org/content/panama/es/home/library/environment_energy/estrategia-nacional-de-cambio-climatico-2050.html</t>
  </si>
  <si>
    <t>MADES aprueba la Estrategia Nacional de Bosques para el Crecimiento Sostenible</t>
  </si>
  <si>
    <t>Paraguay</t>
  </si>
  <si>
    <t>PRY</t>
  </si>
  <si>
    <t>http://www.mades.gov.py/2019/06/04/mades-aprueba-la-estrategia-nacional-de-bosques-para-el-crecimiento-sostenible/|es</t>
  </si>
  <si>
    <t>http://www.mades.gov.py/2019/06/04/mades-aprueba-la-estrategia-nacional-de-bosques-para-el-crecimiento-sostenible/</t>
  </si>
  <si>
    <t>ESTRATEGIA NACIONAL DE BOSQUES PARA EL CRECIMIENTO SOSTENIBLE (ENBCS)</t>
  </si>
  <si>
    <t>https://redd.unfccc.int/files/estrategia_nacional_bosques_para_el_crecimiento_sostenible.pdf|es</t>
  </si>
  <si>
    <t>https://redd.unfccc.int/files/estrategia_nacional_bosques_para_el_crecimiento_sostenible.pdf</t>
  </si>
  <si>
    <t>Ley de Promoción del Mercado de Biocombustibles</t>
  </si>
  <si>
    <t>Peru</t>
  </si>
  <si>
    <t>PER</t>
  </si>
  <si>
    <t>https://climate-laws.org/rails/active_storage/blobs/eyJfcmFpbHMiOnsibWVzc2FnZSI6IkJBaHBBaE1KIiwiZXhwIjpudWxsLCJwdXIiOiJibG9iX2lkIn19--74b0ea430489912faac50b48b1cce2ad450ce417/f|</t>
  </si>
  <si>
    <t>https://climate-laws.org/rails/active_storage/blobs/eyJfcmFpbHMiOnsibWVzc2FnZSI6IkJBaHBBaE1KIiwiZXhwIjpudWxsLCJwdXIiOiJibG9iX2lkIn19--74b0ea430489912faac50b48b1cce2ad450ce417/f</t>
  </si>
  <si>
    <t>DECRETO SUPREMO Nº 013-2005-EM: Ley de Promoción del Mercado de Biocombustibles</t>
  </si>
  <si>
    <t>https://climate-laws.org/rails/active_storage/blobs/eyJfcmFpbHMiOnsibWVzc2FnZSI6IkJBaHBBaFFKIiwiZXhwIjpudWxsLCJwdXIiOiJibG9iX2lkIn19--8417347a1dc2389c552a5ae8326a7f4eb943c752/f|</t>
  </si>
  <si>
    <t>https://climate-laws.org/rails/active_storage/blobs/eyJfcmFpbHMiOnsibWVzc2FnZSI6IkJBaHBBaFFKIiwiZXhwIjpudWxsLCJwdXIiOiJibG9iX2lkIn19--8417347a1dc2389c552a5ae8326a7f4eb943c752/f</t>
  </si>
  <si>
    <t>APRUEBA LEY DE PROMOCIÓN DEL USO EFICIENTE DE LA ENERGÍA</t>
  </si>
  <si>
    <t>https://climate-laws.org/rails/active_storage/blobs/eyJfcmFpbHMiOnsibWVzc2FnZSI6IkJBaHBBaEFKIiwiZXhwIjpudWxsLCJwdXIiOiJibG9iX2lkIn19--bda292a320ec0001f797c9e275583279a17e19df/f|</t>
  </si>
  <si>
    <t>https://climate-laws.org/rails/active_storage/blobs/eyJfcmFpbHMiOnsibWVzc2FnZSI6IkJBaHBBaEFKIiwiZXhwIjpudWxsLCJwdXIiOiJibG9iX2lkIn19--bda292a320ec0001f797c9e275583279a17e19df/f</t>
  </si>
  <si>
    <t>DECRETO SUPREMO Nº 053-2007-EM: Aprueban Reglamento de la Ley de Promoción del Uso Eficiente de la Energía</t>
  </si>
  <si>
    <t>https://climate-laws.org/rails/active_storage/blobs/eyJfcmFpbHMiOnsibWVzc2FnZSI6IkJBaHBBaEVKIiwiZXhwIjpudWxsLCJwdXIiOiJibG9iX2lkIn19--6858d42644654648e77233e3fec6a8009fadbc53/f|</t>
  </si>
  <si>
    <t>https://climate-laws.org/rails/active_storage/blobs/eyJfcmFpbHMiOnsibWVzc2FnZSI6IkJBaHBBaEVKIiwiZXhwIjpudWxsLCJwdXIiOiJibG9iX2lkIn19--6858d42644654648e77233e3fec6a8009fadbc53/f</t>
  </si>
  <si>
    <t>DECRETO SUPREMO Nº 011-2015-MINAM: Aprueban la Estrategia Nacional ante el Cambio Climático</t>
  </si>
  <si>
    <t>https://climate-laws.org/rails/active_storage/blobs/eyJfcmFpbHMiOnsibWVzc2FnZSI6IkJBaHBBbDRJIiwiZXhwIjpudWxsLCJwdXIiOiJibG9iX2lkIn19--b97157d50beea6616d903506f4c0227d5969d07a/f|es</t>
  </si>
  <si>
    <t>https://climate-laws.org/rails/active_storage/blobs/eyJfcmFpbHMiOnsibWVzc2FnZSI6IkJBaHBBbDRJIiwiZXhwIjpudWxsLCJwdXIiOiJibG9iX2lkIn19--b97157d50beea6616d903506f4c0227d5969d07a/f</t>
  </si>
  <si>
    <t>Estrategia Nacional ante el Cambio Climático 2015</t>
  </si>
  <si>
    <t>https://climate-laws.org/rails/active_storage/blobs/eyJfcmFpbHMiOnsibWVzc2FnZSI6IkJBaHBBbDhJIiwiZXhwIjpudWxsLCJwdXIiOiJibG9iX2lkIn19--236f693a1d8dc8ec468a8692149ec514b1915b27/f|es</t>
  </si>
  <si>
    <t>https://climate-laws.org/rails/active_storage/blobs/eyJfcmFpbHMiOnsibWVzc2FnZSI6IkJBaHBBbDhJIiwiZXhwIjpudWxsLCJwdXIiOiJibG9iX2lkIn19--236f693a1d8dc8ec468a8692149ec514b1915b27/f</t>
  </si>
  <si>
    <t>Estrategia Nacional ante el Cambio Climático al 2050</t>
  </si>
  <si>
    <t>https://www.gob.pe/institucion/minam/campa%C3%B1as/3453-estrategia-nacional-ante-el-cambio-climatico-al-2050|es</t>
  </si>
  <si>
    <t>https://www.gob.pe/institucion/minam/campa%C3%B1as/3453-estrategia-nacional-ante-el-cambio-climatico-al-2050</t>
  </si>
  <si>
    <t>LEY MARCO SOBRE CAMBIO CLIMÁTICO</t>
  </si>
  <si>
    <t>http://www.lse.ac.uk/GranthamInstitute/wp-content/uploads/2018/04/1638161-1.pdf|es</t>
  </si>
  <si>
    <t>http://www.lse.ac.uk/GranthamInstitute/wp-content/uploads/2018/04/1638161-1.pdf</t>
  </si>
  <si>
    <t>Decreto Supremo que aprueba el Reglamento de la Ley Nº 30754, Ley Marco sobre Cambio Climático</t>
  </si>
  <si>
    <t>https://busquedas.elperuano.pe/normaslegales/decreto-supremo-que-aprueba-el-reglamento-de-la-ley-n-30754-decreto-supremo-n-013-2019-minam-1842032-2/|es</t>
  </si>
  <si>
    <t>https://busquedas.elperuano.pe/normaslegales/decreto-supremo-que-aprueba-el-reglamento-de-la-ley-n-30754-decreto-supremo-n-013-2019-minam-1842032-2/</t>
  </si>
  <si>
    <t>DECRETO SUPREMO Nº 012-2016-MINAM: El Peruano Aprueban el Plan de Acción en Género y Cambio Climático del Perú</t>
  </si>
  <si>
    <t>https://climate-laws.org/rails/active_storage/blobs/eyJfcmFpbHMiOnsibWVzc2FnZSI6IkJBaHBBck1GIiwiZXhwIjpudWxsLCJwdXIiOiJibG9iX2lkIn19--ed7fbaff43ed2098d732f2dc444041cb99e80ca1/f|</t>
  </si>
  <si>
    <t>https://climate-laws.org/rails/active_storage/blobs/eyJfcmFpbHMiOnsibWVzc2FnZSI6IkJBaHBBck1GIiwiZXhwIjpudWxsLCJwdXIiOiJibG9iX2lkIn19--ed7fbaff43ed2098d732f2dc444041cb99e80ca1/f</t>
  </si>
  <si>
    <t>Plan de Acción En Género Y Cambio Climático</t>
  </si>
  <si>
    <t>https://climate-laws.org/rails/active_storage/blobs/eyJfcmFpbHMiOnsibWVzc2FnZSI6IkJBaHBBclFGIiwiZXhwIjpudWxsLCJwdXIiOiJibG9iX2lkIn19--bdaaa4f086a80cf91b19bf0e4514ff9d06f43845/f|</t>
  </si>
  <si>
    <t>https://climate-laws.org/rails/active_storage/blobs/eyJfcmFpbHMiOnsibWVzc2FnZSI6IkJBaHBBclFGIiwiZXhwIjpudWxsLCJwdXIiOiJibG9iX2lkIn19--bdaaa4f086a80cf91b19bf0e4514ff9d06f43845/f</t>
  </si>
  <si>
    <t>Estrategia Nacional de Restauración de Ecosistemas y Tierras Forestales Degradadas (ProREST) PERIODO 2021 - 2030</t>
  </si>
  <si>
    <t>https://cdn.www.gob.pe/uploads/document/file/2039629/Estrategia_ProREST_vf_21_07_2021FF_1F_2.pdf.pdf|es</t>
  </si>
  <si>
    <t>https://cdn.www.gob.pe/uploads/document/file/2039629/Estrategia_ProREST_vf_21_07_2021FF_1F_2.pdf.pdf</t>
  </si>
  <si>
    <t>El Memorando de la Oficina General de Planeamiento y Presupuesto y el Informe de La Oficina de Programación Multianual de Inversiones</t>
  </si>
  <si>
    <t>https://climate-laws.org/rails/active_storage/blobs/eyJfcmFpbHMiOnsibWVzc2FnZSI6IkJBaHBBamNPIiwiZXhwIjpudWxsLCJwdXIiOiJibG9iX2lkIn19--a97a8259cef5eefe4104c31c1a911fdd866adf25/R.%20M.%20N%C2%B0%200338-2020-MIDAGRI.pdf|es</t>
  </si>
  <si>
    <t>https://climate-laws.org/rails/active_storage/blobs/eyJfcmFpbHMiOnsibWVzc2FnZSI6IkJBaHBBamNPIiwiZXhwIjpudWxsLCJwdXIiOiJibG9iX2lkIn19--a97a8259cef5eefe4104c31c1a911fdd866adf25/R.%20M.%20N%C2%B0%200338-2020-MIDAGRI.pdf</t>
  </si>
  <si>
    <t>An Act Establishing the People's Survival Fund to Provide Long-Term Finance Streams to Enable the Government to Effectively Address the Problem of Climate Change (Climate Change Act 2009 Amendment)</t>
  </si>
  <si>
    <t>Philippines</t>
  </si>
  <si>
    <t>PHL</t>
  </si>
  <si>
    <t>https://climate-laws.org/rails/active_storage/blobs/eyJfcmFpbHMiOnsibWVzc2FnZSI6IkJBaHBBbzBHIiwiZXhwIjpudWxsLCJwdXIiOiJibG9iX2lkIn19--80bbdf505f7eef690fe77f2ecc89bdc20507b2f3/f|</t>
  </si>
  <si>
    <t>https://climate-laws.org/rails/active_storage/blobs/eyJfcmFpbHMiOnsibWVzc2FnZSI6IkJBaHBBbzBHIiwiZXhwIjpudWxsLCJwdXIiOiJibG9iX2lkIn19--80bbdf505f7eef690fe77f2ecc89bdc20507b2f3/f</t>
  </si>
  <si>
    <t>Administrative Order Implementing the Climate Change Act 2009</t>
  </si>
  <si>
    <t>https://climate-laws.org/rails/active_storage/blobs/eyJfcmFpbHMiOnsibWVzc2FnZSI6IkJBaHBBbzRHIiwiZXhwIjpudWxsLCJwdXIiOiJibG9iX2lkIn19--321e8ab05896fc734ba2c79b4e7d49eb07f84809/f|</t>
  </si>
  <si>
    <t>https://climate-laws.org/rails/active_storage/blobs/eyJfcmFpbHMiOnsibWVzc2FnZSI6IkJBaHBBbzRHIiwiZXhwIjpudWxsLCJwdXIiOiJibG9iX2lkIn19--321e8ab05896fc734ba2c79b4e7d49eb07f84809/f</t>
  </si>
  <si>
    <t>Renewable Energy Act 2008</t>
  </si>
  <si>
    <t>https://climate-laws.org/rails/active_storage/blobs/eyJfcmFpbHMiOnsibWVzc2FnZSI6IkJBaHBBZ2tKIiwiZXhwIjpudWxsLCJwdXIiOiJibG9iX2lkIn19--46418d090212aeddd7315539e3a0805bf3d2293e/f|</t>
  </si>
  <si>
    <t>https://climate-laws.org/rails/active_storage/blobs/eyJfcmFpbHMiOnsibWVzc2FnZSI6IkJBaHBBZ2tKIiwiZXhwIjpudWxsLCJwdXIiOiJibG9iX2lkIn19--46418d090212aeddd7315539e3a0805bf3d2293e/f</t>
  </si>
  <si>
    <t>Guidelines for the Policy of Maintaining the Share of Renewable Energy in the Country</t>
  </si>
  <si>
    <t>https://climate-laws.org/rails/active_storage/blobs/eyJfcmFpbHMiOnsibWVzc2FnZSI6IkJBaHBBdWtNIiwiZXhwIjpudWxsLCJwdXIiOiJibG9iX2lkIn19--9d9f9c4f5e170d8aca80ba9a3f57f0bea080c0af/2015%20DoE%20DC%202015-07-0014%20Renewable%20Energy%20Share%20in%20Installed%20Capacity%20Circular.pdf|en</t>
  </si>
  <si>
    <t>https://climate-laws.org/rails/active_storage/blobs/eyJfcmFpbHMiOnsibWVzc2FnZSI6IkJBaHBBdWtNIiwiZXhwIjpudWxsLCJwdXIiOiJibG9iX2lkIn19--9d9f9c4f5e170d8aca80ba9a3f57f0bea080c0af/2015%20DoE%20DC%202015-07-0014%20Renewable%20Energy%20Share%20in%20Installed%20Capacity%20Circular.pdf</t>
  </si>
  <si>
    <t>Biofuels Act 2006</t>
  </si>
  <si>
    <t>https://climate-laws.org/rails/active_storage/blobs/eyJfcmFpbHMiOnsibWVzc2FnZSI6IkJBaHBBZ2NKIiwiZXhwIjpudWxsLCJwdXIiOiJibG9iX2lkIn19--e818b07784c3dd8f643fbf51153089e9083fff31/f|en</t>
  </si>
  <si>
    <t>https://climate-laws.org/rails/active_storage/blobs/eyJfcmFpbHMiOnsibWVzc2FnZSI6IkJBaHBBZ2NKIiwiZXhwIjpudWxsLCJwdXIiOiJibG9iX2lkIn19--e818b07784c3dd8f643fbf51153089e9083fff31/f</t>
  </si>
  <si>
    <t>Amendment to Biofuels Act 2006</t>
  </si>
  <si>
    <t>https://climate-laws.org/rails/active_storage/blobs/eyJfcmFpbHMiOnsibWVzc2FnZSI6IkJBaHBBdk1NIiwiZXhwIjpudWxsLCJwdXIiOiJibG9iX2lkIn19--33046e18a3a399d644fe63c6d8a4c5c53f91059f/2016%20RA%2010745%20Amended%20Biofuels%20Act%20of%202006(1).docx|en</t>
  </si>
  <si>
    <t>https://climate-laws.org/rails/active_storage/blobs/eyJfcmFpbHMiOnsibWVzc2FnZSI6IkJBaHBBdk1NIiwiZXhwIjpudWxsLCJwdXIiOiJibG9iX2lkIn19--33046e18a3a399d644fe63c6d8a4c5c53f91059f/2016%20RA%2010745%20Amended%20Biofuels%20Act%20of%202006(1).docx</t>
  </si>
  <si>
    <t>Rules and Regulations Implementing Biofuels Act 2016</t>
  </si>
  <si>
    <t>https://climate-laws.org/rails/active_storage/blobs/eyJfcmFpbHMiOnsibWVzc2FnZSI6IkJBaHBBdlFNIiwiZXhwIjpudWxsLCJwdXIiOiJibG9iX2lkIn19--c4e49d74ada8b950783da707c0492e3fa17ba5c4/2007%20DoE%20DC%202007-05-0006%20Biofuels%20Act%20IRR.pdf|en</t>
  </si>
  <si>
    <t>https://climate-laws.org/rails/active_storage/blobs/eyJfcmFpbHMiOnsibWVzc2FnZSI6IkJBaHBBdlFNIiwiZXhwIjpudWxsLCJwdXIiOiJibG9iX2lkIn19--c4e49d74ada8b950783da707c0492e3fa17ba5c4/2007%20DoE%20DC%202007-05-0006%20Biofuels%20Act%20IRR.pdf</t>
  </si>
  <si>
    <t>Mandatory Use of Biofuel Blend</t>
  </si>
  <si>
    <t>https://climate-laws.org/rails/active_storage/blobs/eyJfcmFpbHMiOnsibWVzc2FnZSI6IkJBaHBBdlVNIiwiZXhwIjpudWxsLCJwdXIiOiJibG9iX2lkIn19--9a11c773695cffcf195c666a59f9cd193fd82772/2011%20DoE%20DC%202011-02-0001%20Mandatory%20Use%20of%20Biofuel%20Blend.pdf|en</t>
  </si>
  <si>
    <t>https://climate-laws.org/rails/active_storage/blobs/eyJfcmFpbHMiOnsibWVzc2FnZSI6IkJBaHBBdlVNIiwiZXhwIjpudWxsLCJwdXIiOiJibG9iX2lkIn19--9a11c773695cffcf195c666a59f9cd193fd82772/2011%20DoE%20DC%202011-02-0001%20Mandatory%20Use%20of%20Biofuel%20Blend.pdf</t>
  </si>
  <si>
    <t>Amended Biofuelds Act 2006</t>
  </si>
  <si>
    <t>https://climate-laws.org/rails/active_storage/blobs/eyJfcmFpbHMiOnsibWVzc2FnZSI6IkJBaHBBdllNIiwiZXhwIjpudWxsLCJwdXIiOiJibG9iX2lkIn19--964ed82602e8d1ed76f79e9201ba3b156fa23624/2016%20DoE%20DC%202016-07-0012%20Amended%20Biofuels%20Act%20of%202006%20IRR.pdf|en</t>
  </si>
  <si>
    <t>https://climate-laws.org/rails/active_storage/blobs/eyJfcmFpbHMiOnsibWVzc2FnZSI6IkJBaHBBdllNIiwiZXhwIjpudWxsLCJwdXIiOiJibG9iX2lkIn19--964ed82602e8d1ed76f79e9201ba3b156fa23624/2016%20DoE%20DC%202016-07-0012%20Amended%20Biofuels%20Act%20of%202006%20IRR.pdf</t>
  </si>
  <si>
    <t>Executive Order No.785: Mandating the Presidential Task Force on Climate Change to Develop the National Climate Change Framework</t>
  </si>
  <si>
    <t>https://climate-laws.org/rails/active_storage/blobs/eyJfcmFpbHMiOnsibWVzc2FnZSI6IkJBaHBBdVVNIiwiZXhwIjpudWxsLCJwdXIiOiJibG9iX2lkIn19--15af386d4280bbcc68c977b8586b4d39d694d62f/2009%20EO%20785%20Mandating%20the%20PTFCC%20to%20develop%20the%20National%20Climate%20Change%20Framework.pdf|en</t>
  </si>
  <si>
    <t>https://climate-laws.org/rails/active_storage/blobs/eyJfcmFpbHMiOnsibWVzc2FnZSI6IkJBaHBBdVVNIiwiZXhwIjpudWxsLCJwdXIiOiJibG9iX2lkIn19--15af386d4280bbcc68c977b8586b4d39d694d62f/2009%20EO%20785%20Mandating%20the%20PTFCC%20to%20develop%20the%20National%20Climate%20Change%20Framework.pdf</t>
  </si>
  <si>
    <t>Executive Order No.774: REORGANIZING THE PRESIDENTIAL TASK FORCE ON CLIMATE CHANGE</t>
  </si>
  <si>
    <t>https://lawphil.net/executive/execord/eo2008/eo_774_2008.html|</t>
  </si>
  <si>
    <t>https://lawphil.net/executive/execord/eo2008/eo_774_2008.html</t>
  </si>
  <si>
    <t>Philippine Energy Plan 2016-2030</t>
  </si>
  <si>
    <t>https://climate-laws.org/rails/active_storage/blobs/eyJfcmFpbHMiOnsibWVzc2FnZSI6IkJBaHBBdXNNIiwiZXhwIjpudWxsLCJwdXIiOiJibG9iX2lkIn19--38b3fb613927a944d2924b7ae99afd1285145c9d/2016%20Philippine%20Energy%20Plan%202016-2030(2).pdf|en</t>
  </si>
  <si>
    <t>https://climate-laws.org/rails/active_storage/blobs/eyJfcmFpbHMiOnsibWVzc2FnZSI6IkJBaHBBdXNNIiwiZXhwIjpudWxsLCJwdXIiOiJibG9iX2lkIn19--38b3fb613927a944d2924b7ae99afd1285145c9d/2016%20Philippine%20Energy%20Plan%202016-2030(2).pdf</t>
  </si>
  <si>
    <t>Philippine Energy Plan 2018-2040</t>
  </si>
  <si>
    <t>https://www.doe.gov.ph/sites/default/files/pdf/pep/Philippine%20Plan%202018-2040.pdf|</t>
  </si>
  <si>
    <t>https://www.doe.gov.ph/sites/default/files/pdf/pep/Philippine%20Plan%202018-2040.pdf</t>
  </si>
  <si>
    <t>DOE SEC. CUSI DECLARES MORATORIUM ON ENDORSEMENTS FOR GREENFIELD COAL POWER PLANTS</t>
  </si>
  <si>
    <t>https://www.doe.gov.ph/press-releases/doe-sec-cusi-declares-moratorium-endorsements-greenfield-coal-power-plants?ckattempt=1|en</t>
  </si>
  <si>
    <t>https://www.doe.gov.ph/press-releases/doe-sec-cusi-declares-moratorium-endorsements-greenfield-coal-power-plants?ckattempt=1</t>
  </si>
  <si>
    <t>Advisory on the Moratorium of Endorsements for Greenfield Coal-Fired Power Projects In Line with Improving the Sustainability of the Philippines' Electric Power Industry</t>
  </si>
  <si>
    <t>https://www.doe.gov.ph/announcements/advisory-moratorium-endorsements-greenfield-coal-fired-power-projects-line-improving?ckattempt=1|en</t>
  </si>
  <si>
    <t>https://www.doe.gov.ph/announcements/advisory-moratorium-endorsements-greenfield-coal-fired-power-projects-line-improving?ckattempt=1</t>
  </si>
  <si>
    <t>National Security Policy 2017-2022</t>
  </si>
  <si>
    <t>https://nsc.gov.ph/attachments/article/NSP/NSP-2017-2022.pdf|en</t>
  </si>
  <si>
    <t>https://nsc.gov.ph/attachments/article/NSP/NSP-2017-2022.pdf</t>
  </si>
  <si>
    <t>National Security Strategy</t>
  </si>
  <si>
    <t>https://apcss.org/wp-content/uploads/2020/02/Philippines-National_Security_Strategy_2018.pdf|en</t>
  </si>
  <si>
    <t>https://apcss.org/wp-content/uploads/2020/02/Philippines-National_Security_Strategy_2018.pdf</t>
  </si>
  <si>
    <t>Strategiczny plan adaptacji dla sektorów i obszarów wrażliwych na zmiany klimatu do roku 2020</t>
  </si>
  <si>
    <t>https://climate-laws.org/rails/active_storage/blobs/eyJfcmFpbHMiOnsibWVzc2FnZSI6IkJBaHBBcXdLIiwiZXhwIjpudWxsLCJwdXIiOiJibG9iX2lkIn19--64a5b6c0561a56396c12ed23e21beac1a7b1191d/1560%20Polish.pdf|pl</t>
  </si>
  <si>
    <t>https://climate-laws.org/rails/active_storage/blobs/eyJfcmFpbHMiOnsibWVzc2FnZSI6IkJBaHBBcXdLIiwiZXhwIjpudWxsLCJwdXIiOiJibG9iX2lkIn19--64a5b6c0561a56396c12ed23e21beac1a7b1191d/1560%20Polish.pdf</t>
  </si>
  <si>
    <t>Polish National Strategy for Adaptation to Climate Change (NAS 2020)</t>
  </si>
  <si>
    <t>https://climate-laws.org/rails/active_storage/blobs/eyJfcmFpbHMiOnsibWVzc2FnZSI6IkJBaHBBcTBLIiwiZXhwIjpudWxsLCJwdXIiOiJibG9iX2lkIn19--c217f3a8a847691fb59d2086d4a64fe07c525741/1560%20English.pdf|en</t>
  </si>
  <si>
    <t>https://climate-laws.org/rails/active_storage/blobs/eyJfcmFpbHMiOnsibWVzc2FnZSI6IkJBaHBBcTBLIiwiZXhwIjpudWxsLCJwdXIiOiJibG9iX2lkIn19--c217f3a8a847691fb59d2086d4a64fe07c525741/1560%20English.pdf</t>
  </si>
  <si>
    <t>Energy Policy of Poland until 2030</t>
  </si>
  <si>
    <t>https://climate-laws.org/rails/active_storage/blobs/eyJfcmFpbHMiOnsibWVzc2FnZSI6IkJBaHBBcTRLIiwiZXhwIjpudWxsLCJwdXIiOiJibG9iX2lkIn19--cd25f272fd2ab088fab1f16526f35c5d92c38078/1564%20English.pdf|en</t>
  </si>
  <si>
    <t>https://climate-laws.org/rails/active_storage/blobs/eyJfcmFpbHMiOnsibWVzc2FnZSI6IkJBaHBBcTRLIiwiZXhwIjpudWxsLCJwdXIiOiJibG9iX2lkIn19--cd25f272fd2ab088fab1f16526f35c5d92c38078/1564%20English.pdf</t>
  </si>
  <si>
    <t>Polityka energetyczna Polski do 2030 roku</t>
  </si>
  <si>
    <t>https://climate-laws.org/rails/active_storage/blobs/eyJfcmFpbHMiOnsibWVzc2FnZSI6IkJBaHBBcThLIiwiZXhwIjpudWxsLCJwdXIiOiJibG9iX2lkIn19--afbb02d29b1e00329a8a2e3eff79140618fc52df/1564%20Polish.pdf|pl</t>
  </si>
  <si>
    <t>https://climate-laws.org/rails/active_storage/blobs/eyJfcmFpbHMiOnsibWVzc2FnZSI6IkJBaHBBcThLIiwiZXhwIjpudWxsLCJwdXIiOiJibG9iX2lkIn19--afbb02d29b1e00329a8a2e3eff79140618fc52df/1564%20Polish.pdf</t>
  </si>
  <si>
    <t>ENERGY POLICY OF POLAND UNTIL 2040 (draft)</t>
  </si>
  <si>
    <t>https://climate-laws.org/rails/active_storage/blobs/eyJfcmFpbHMiOnsibWVzc2FnZSI6IkJBaHBBdkFNIiwiZXhwIjpudWxsLCJwdXIiOiJibG9iX2lkIn19--2977a8738e6d5a65d4175cb3be24d3dd675ce61a/EN_Extract_EPP2040.pdf|en</t>
  </si>
  <si>
    <t>https://climate-laws.org/rails/active_storage/blobs/eyJfcmFpbHMiOnsibWVzc2FnZSI6IkJBaHBBdkFNIiwiZXhwIjpudWxsLCJwdXIiOiJibG9iX2lkIn19--2977a8738e6d5a65d4175cb3be24d3dd675ce61a/EN_Extract_EPP2040.pdf</t>
  </si>
  <si>
    <t>Prawo energetyczne</t>
  </si>
  <si>
    <t>https://climate-laws.org/rails/active_storage/blobs/eyJfcmFpbHMiOnsibWVzc2FnZSI6IkJBaHBBdE1LIiwiZXhwIjpudWxsLCJwdXIiOiJibG9iX2lkIn19--f8ecace2f62be728a75600f1a3b037176fe00d9b/2005%20Polish.pdf|pl</t>
  </si>
  <si>
    <t>https://climate-laws.org/rails/active_storage/blobs/eyJfcmFpbHMiOnsibWVzc2FnZSI6IkJBaHBBdE1LIiwiZXhwIjpudWxsLCJwdXIiOiJibG9iX2lkIn19--f8ecace2f62be728a75600f1a3b037176fe00d9b/2005%20Polish.pdf</t>
  </si>
  <si>
    <t>Energy Law</t>
  </si>
  <si>
    <t>https://climate-laws.org/rails/active_storage/blobs/eyJfcmFpbHMiOnsibWVzc2FnZSI6IkJBaHBBdFFLIiwiZXhwIjpudWxsLCJwdXIiOiJibG9iX2lkIn19--c7346d790b4cd07edb983a03633bb0d6dda05e19/2005%20English.pdf|en</t>
  </si>
  <si>
    <t>https://climate-laws.org/rails/active_storage/blobs/eyJfcmFpbHMiOnsibWVzc2FnZSI6IkJBaHBBdFFLIiwiZXhwIjpudWxsLCJwdXIiOiJibG9iX2lkIn19--c7346d790b4cd07edb983a03633bb0d6dda05e19/2005%20English.pdf</t>
  </si>
  <si>
    <t>Ustawa o biokomponentach i biopaliwach ciekłych</t>
  </si>
  <si>
    <t>https://climate-laws.org/rails/active_storage/blobs/eyJfcmFpbHMiOnsibWVzc2FnZSI6IkJBaHBBaDRJIiwiZXhwIjpudWxsLCJwdXIiOiJibG9iX2lkIn19--3a3f935e79a49f6728971653d70dab3a6c5e9271/f|</t>
  </si>
  <si>
    <t>https://climate-laws.org/rails/active_storage/blobs/eyJfcmFpbHMiOnsibWVzc2FnZSI6IkJBaHBBaDRJIiwiZXhwIjpudWxsLCJwdXIiOiJibG9iX2lkIn19--3a3f935e79a49f6728971653d70dab3a6c5e9271/f</t>
  </si>
  <si>
    <t>Ustawa z dnia 6 czerwca 2018 r. o zmianie ustawy o biokomponentach i biopaliwach ciekłych oraz niektórych innych ustaw</t>
  </si>
  <si>
    <t>http://prawo.sejm.gov.pl/isap.nsf/DocDetails.xsp?id=WDU20180001356|pl</t>
  </si>
  <si>
    <t>http://prawo.sejm.gov.pl/isap.nsf/DocDetails.xsp?id=WDU20180001356</t>
  </si>
  <si>
    <t>Ustawa o odnawialnych źródłach energii</t>
  </si>
  <si>
    <t>https://climate-laws.org/rails/active_storage/blobs/eyJfcmFpbHMiOnsibWVzc2FnZSI6IkJBaHBBaDBJIiwiZXhwIjpudWxsLCJwdXIiOiJibG9iX2lkIn19--cc2d78b75f39dc6eb95610801af4b33e2a3b6ae3/f|pl</t>
  </si>
  <si>
    <t>https://climate-laws.org/rails/active_storage/blobs/eyJfcmFpbHMiOnsibWVzc2FnZSI6IkJBaHBBaDBJIiwiZXhwIjpudWxsLCJwdXIiOiJibG9iX2lkIn19--cc2d78b75f39dc6eb95610801af4b33e2a3b6ae3/f</t>
  </si>
  <si>
    <t>Rządowy projekt ustawy o zmianie ustawy o odnawialnych źródłach energii oraz niektórych innych ustaw</t>
  </si>
  <si>
    <t>https://www.sejm.gov.pl/sejm9.nsf/PrzebiegProc.xsp?nr=1129|pl</t>
  </si>
  <si>
    <t>https://www.sejm.gov.pl/sejm9.nsf/PrzebiegProc.xsp?nr=1129</t>
  </si>
  <si>
    <t>Ustawa o inwestycjach w zakresie elektrowni wiatrowych</t>
  </si>
  <si>
    <t>http://www.lse.ac.uk/GranthamInstitute/wp-content/uploads/2018/03/D2016000096101.pdf|pl</t>
  </si>
  <si>
    <t>http://www.lse.ac.uk/GranthamInstitute/wp-content/uploads/2018/03/D2016000096101.pdf</t>
  </si>
  <si>
    <t>Ustawa z dnia 20 maja 2016 r. o inwestycjach w zakresie elektrowni wiatrowych</t>
  </si>
  <si>
    <t>http://prawo.sejm.gov.pl/isap.nsf/DocDetails.xsp?id=WDU20160000961|pl</t>
  </si>
  <si>
    <t>http://prawo.sejm.gov.pl/isap.nsf/DocDetails.xsp?id=WDU20160000961</t>
  </si>
  <si>
    <t>https://www.gov.pl/web/aktywa-panstwowe/elektromobilnosc-w-polsce|pl</t>
  </si>
  <si>
    <t>https://www.gov.pl/web/aktywa-panstwowe/elektromobilnosc-w-polsce</t>
  </si>
  <si>
    <t>Electromobility Development Plan in Poland</t>
  </si>
  <si>
    <t>https://climate-laws.org/rails/active_storage/blobs/eyJfcmFpbHMiOnsibWVzc2FnZSI6IkJBaHBBcnNMIiwiZXhwIjpudWxsLCJwdXIiOiJibG9iX2lkIn19--a3b72c9b510d4f4bf2944f809bcadca485fa3840/DIT_PRE_EN.pdf|en</t>
  </si>
  <si>
    <t>https://climate-laws.org/rails/active_storage/blobs/eyJfcmFpbHMiOnsibWVzc2FnZSI6IkJBaHBBcnNMIiwiZXhwIjpudWxsLCJwdXIiOiJibG9iX2lkIn19--a3b72c9b510d4f4bf2944f809bcadca485fa3840/DIT_PRE_EN.pdf</t>
  </si>
  <si>
    <t>Ustawa o zmianie ustawy o podatku dochodowym od osób fizycznych oraz ustawy o podatku dochodowym od osób prawnych</t>
  </si>
  <si>
    <t>https://www.prawo.pl/akty/dz-u-2020-183,18953737.html|pl</t>
  </si>
  <si>
    <t>https://www.prawo.pl/akty/dz-u-2020-183,18953737.html</t>
  </si>
  <si>
    <t>Ustawa o zmianie ustawy o podatku dochodowym od osób fizycznych oraz ustawy o podatku dochodowym
od osób prawnych</t>
  </si>
  <si>
    <t>http://prawo.sejm.gov.pl/isap.nsf/download.xsp/WDU20200000183/T/D20200183L.pdf|pl</t>
  </si>
  <si>
    <t>http://prawo.sejm.gov.pl/isap.nsf/download.xsp/WDU20200000183/T/D20200183L.pdf</t>
  </si>
  <si>
    <t>Rozporządzenie Ministra Energii z dnia 5 listopada 2019 r. w sprawie szczegółowych warunków udzielania wsparcia zakupu nowych pojazdów ze środków Funduszu Niskoemisyjnego Transportu osobom fizycznym niewykonującym działalności gospodarczej i warunków rozliczania tego wsparcia</t>
  </si>
  <si>
    <t>http://prawo.sejm.gov.pl/isap.nsf/DocDetails.xsp?id=WDU20190002189|pl</t>
  </si>
  <si>
    <t>http://prawo.sejm.gov.pl/isap.nsf/DocDetails.xsp?id=WDU20190002189</t>
  </si>
  <si>
    <t>Rozporządzenie Ministra Aktywów Państwowych z dnia 23 grudnia 2019 r. w sprawie szczegółowych warunków udzielania oraz sposobu rozliczania wsparcia udzielonego ze środków Funduszu Niskoemisyjnego Transportu</t>
  </si>
  <si>
    <t>http://prawo.sejm.gov.pl/isap.nsf/DocDetails.xsp?id=WDU20190002538|pl</t>
  </si>
  <si>
    <t>http://prawo.sejm.gov.pl/isap.nsf/DocDetails.xsp?id=WDU20190002538</t>
  </si>
  <si>
    <t>EXECUTIVE SUMMARY OF POLAND’S NATIONAL ENERGY AND CLIMATE PLAN FOR THE YEARS 2021-2030 (NECP PL)</t>
  </si>
  <si>
    <t>https://ec.europa.eu/energy/sites/ener/files/documents/pl_final_necp_summary_en.pdf|en</t>
  </si>
  <si>
    <t>https://ec.europa.eu/energy/sites/ener/files/documents/pl_final_necp_summary_en.pdf</t>
  </si>
  <si>
    <t>Krajowy plan na rzecz energii i klimatu na lata 2021-2030</t>
  </si>
  <si>
    <t>https://ec.europa.eu/energy/sites/ener/files/documents/pl_final_necp_main_pl.pdf|pl</t>
  </si>
  <si>
    <t>https://ec.europa.eu/energy/sites/ener/files/documents/pl_final_necp_main_pl.pdf</t>
  </si>
  <si>
    <t>National Climate Agenda: Resilient, Prosperous and Green</t>
  </si>
  <si>
    <t>Floods</t>
  </si>
  <si>
    <t>Adaptation;Research And Development;Carbon Pricing;Energy Supply;Energy Demand;Transportation</t>
  </si>
  <si>
    <t>01/10/2013|Law passed||</t>
  </si>
  <si>
    <t>Full text|https://climate-laws.org/rails/active_storage/blobs/eyJfcmFpbHMiOnsibWVzc2FnZSI6IkJBaHBBc0FHIiwiZXhwIjpudWxsLCJwdXIiOiJibG9iX2lkIn19--77e50ec739aea2ed7233eec6bb1be92f18344800/f|nl;English summary (pdf)|https://climate-laws.org/rails/active_storage/blobs/eyJfcmFpbHMiOnsibWVzc2FnZSI6IkJBaHBBcHNLIiwiZXhwIjpudWxsLCJwdXIiOiJibG9iX2lkIn19--c14b004fcd02b2ac760a6ba9500e320d4bcc284b/1497%20English%20summary.pdf|en</t>
  </si>
  <si>
    <t>Energy Report</t>
  </si>
  <si>
    <t>Research And Development;Carbon Pricing;Energy Supply;Energy Demand;Transportation</t>
  </si>
  <si>
    <t>01/06/2011|Law passed</t>
  </si>
  <si>
    <t>Full text|https://climate-laws.org/rails/active_storage/blobs/eyJfcmFpbHMiOnsibWVzc2FnZSI6IkJBaHBBaklKIiwiZXhwIjpudWxsLCJwdXIiOiJibG9iX2lkIn19--ca09df14e56864527e2b3e032481e0cb09170053/f|nl;English summary (pdf)|https://climate-laws.org/rails/active_storage/blobs/eyJfcmFpbHMiOnsibWVzc2FnZSI6IkJBaHBBcHdLIiwiZXhwIjpudWxsLCJwdXIiOiJibG9iX2lkIn19--b98bdfe375a1de90a1bc7ced716df36f2dde63c3/1499%20English%20summary.pdf|en</t>
  </si>
  <si>
    <t>Environmental Management Act 2004</t>
  </si>
  <si>
    <t>Carbon Pricing;Energy Supply;Energy Demand;Transportation</t>
  </si>
  <si>
    <t>Waste;Water</t>
  </si>
  <si>
    <t>01/05/2004|Law passed||</t>
  </si>
  <si>
    <t>Full text|https://climate-laws.org/rails/active_storage/blobs/eyJfcmFpbHMiOnsibWVzc2FnZSI6IkJBaHBBakFKIiwiZXhwIjpudWxsLCJwdXIiOiJibG9iX2lkIn19--ae2fa5691e0a281e19a9df8c4938eaf3d20bb177/f|en;Link to updated document on official website|https://wetten.overheid.nl/BWBR0003245/2020-07-01|nl</t>
  </si>
  <si>
    <t>Electricity Act</t>
  </si>
  <si>
    <t>30/06/1998|Law passed</t>
  </si>
  <si>
    <t>Full text|https://climate-laws.org/rails/active_storage/blobs/eyJfcmFpbHMiOnsibWVzc2FnZSI6IkJBaHBBaTRKIiwiZXhwIjpudWxsLCJwdXIiOiJibG9iX2lkIn19--4ca1983a38474631921e1e384fc7bfd187a28ece/f|;Full text|https://climate-laws.org/rails/active_storage/blobs/eyJfcmFpbHMiOnsibWVzc2FnZSI6IkJBaHBBaThKIiwiZXhwIjpudWxsLCJwdXIiOiJibG9iX2lkIn19--b8adb582f27888572ab7c514ff8fe8d4e6ae753c/f|</t>
  </si>
  <si>
    <t>Industry;Institutions / Administrative Arrangements</t>
  </si>
  <si>
    <t>02/07/2019|law passed||</t>
  </si>
  <si>
    <t>press release|https://www.eerstekamer.nl/nieuws/20190528/klimaatwet_aangenomen_door_eerste|nl;Link to official website|https://wetten.overheid.nl/BWBR0042394/2020-01-01|nl;Full text (PDF)|https://climate-laws.org/rails/active_storage/blobs/eyJfcmFpbHMiOnsibWVzc2FnZSI6IkJBaHBBaThNIiwiZXhwIjpudWxsLCJwdXIiOiJibG9iX2lkIn19--c85adb7ba657569ead9023707fbc96241e3fb034/NLD108819.pdf|nl</t>
  </si>
  <si>
    <t>Energy Accord for Sustainable Growth (Energieakkoord)</t>
  </si>
  <si>
    <t>Subnational and citizen participation|Governance</t>
  </si>
  <si>
    <t>Decree/Order/Ordinance;Strategy;Accord</t>
  </si>
  <si>
    <t>06/09/2013|Accord made||</t>
  </si>
  <si>
    <t>Link to official website|https://www.rijksoverheid.nl/documenten/convenanten/2013/09/06/energieakkoord-voor-duurzame-groei|nl;Link to related documents on official website|https://www.rvo.nl/onderwerpen/duurzaam-ondernemen/energieakkoord|nl</t>
  </si>
  <si>
    <t>Government strategy on hydrogen</t>
  </si>
  <si>
    <t>Subsidies|Economic;Capacity building|Governance;Subnational and citizen participation|Governance;International cooperation|Governance;Research &amp; Development, knowledge generation|Information</t>
  </si>
  <si>
    <t>06/04/2020|Strategy released||</t>
  </si>
  <si>
    <t>Full translation (PDF)|https://climate-laws.org/rails/active_storage/blobs/eyJfcmFpbHMiOnsibWVzc2FnZSI6IkJBaHBBaFFNIiwiZXhwIjpudWxsLCJwdXIiOiJibG9iX2lkIn19--118aa0582fd5b4db5c988ec106e81583f5a01d03/Hydrogen-Strategy-TheNetherlands.pdf|en;Cabinet vision|https://climate-laws.org/rails/active_storage/blobs/eyJfcmFpbHMiOnsibWVzc2FnZSI6IkJBaHBBaFVNIiwiZXhwIjpudWxsLCJwdXIiOiJibG9iX2lkIn19--bac3cdc9130808b6be4a2323ecee9903a2fee036/Brief+kabinetsvisie+waterstof+.pdf|nl</t>
  </si>
  <si>
    <t>Integrated National Energy and Climate Plan 2021-2030</t>
  </si>
  <si>
    <t>Flood;Drought;Heatwaves</t>
  </si>
  <si>
    <t>Transportation;Transport;Biofuels;Subsidies;Biogas;Agriculture;Tax</t>
  </si>
  <si>
    <t>Agriculture;Buildings;Economy-wide;Transportation;Urban;Waste</t>
  </si>
  <si>
    <t>01/11/2019|Approved||</t>
  </si>
  <si>
    <t>Full text (PDF)|https://ec.europa.eu/energy/sites/ener/files/documents/nl_final_necp_main_en.pdf|en;Original version (PDF)|https://ec.europa.eu/energy/sites/ener/files/documents/nl_final_necp_main_nl.pdf|nl</t>
  </si>
  <si>
    <t>Climate Change Response (Zero Carbon) Amendment Act (amending the Climate Change Response Act 2002)</t>
  </si>
  <si>
    <t>Standards, obligations and norms|Regulation;Tax incentives|Economic;Capacity building|Governance;Institutional mandates|Governance;Processes, plans and strategies|Governance;MRV|Governance</t>
  </si>
  <si>
    <t>Institutions / Administrative Arrangements;Carbon Pricing;Redd+ And Lulucf</t>
  </si>
  <si>
    <t>Agriculture;Economy-wide;LULUCF;Transportation;Waste</t>
  </si>
  <si>
    <t>18/11/2002|Law passed||;25/12/2014|Last amendment||;01/11/2019|Amended by the Climate Change Response (Zero Carbon) Amendment Act||;22/06/2020|Amended by the Emissions Trading Reform Act||</t>
  </si>
  <si>
    <t>Full text 2017 reprint of 2002 Act|https://climate-laws.org/rails/active_storage/blobs/eyJfcmFpbHMiOnsibWVzc2FnZSI6IkJBaHBBcGtHIiwiZXhwIjpudWxsLCJwdXIiOiJibG9iX2lkIn19--a085e5c6e37040e3f55851174c5b0d3c101b8028/f|en;Climate Change Response (Zero Carbon) Amendment Act 2019|http://www.legislation.govt.nz/act/public/2019/0061/latest/LMS183736.html|en;Climate Change Response (Emissions Trading Reform) Amendment Act 2020|https://www.legislation.govt.nz/act/public/2020/0022/latest/whole.html#LMS143384|en</t>
  </si>
  <si>
    <t>Laws No. 532 and amending laws 901, 967 and 1037 - on the promotion of electricity generation with renewable sources</t>
  </si>
  <si>
    <t>15/04/2005|Law passed||;07/12/2017|Last amended||</t>
  </si>
  <si>
    <t>Full text|https://climate-laws.org/rails/active_storage/blobs/eyJfcmFpbHMiOnsibWVzc2FnZSI6IkJBaHBBdGtHIiwiZXhwIjpudWxsLCJwdXIiOiJibG9iX2lkIn19--a6e822a0c5c2c6327585e765691de458e5aacf8d/f|es;Link to amending law 1037 on official website |http://legislacion.asamblea.gob.ni/Normaweb.nsf/9e314815a08d4a6206257265005d21f9/078da66d26d90c6a062585e0007bbf00?OpenDocument|es</t>
  </si>
  <si>
    <t>Regulation on the generation of renewable energy for self-consumption (Ministerial agreement No. 063-DGERR-002-2017)</t>
  </si>
  <si>
    <t>15/12/2017|Document issued;15/12/2019|Enforced</t>
  </si>
  <si>
    <t>Agreement (PDF)|http://extwprlegs1.fao.org/docs/pdf/nic177015.pdf|es;Link to law no 1011/2019|https://ni.vlex.com/vid/ley-n-1011-ley-830230069|es;Law no 272/1998 (PDF)|http://www.cndc.org.ni/publicaciones/Ley%20272,%20Ley%20de%20Industria%20Electrica.pdf|es</t>
  </si>
  <si>
    <t>Nigeria Economic Sustainability Plan</t>
  </si>
  <si>
    <t>Solar Panels;Renewables;Covid19;Stimulus Plan</t>
  </si>
  <si>
    <t>25/06/2020|Plan approved||</t>
  </si>
  <si>
    <t>Full text (PDF)|https://climate-laws.org/rails/active_storage/blobs/eyJfcmFpbHMiOnsibWVzc2FnZSI6IkJBaHBBa3dNIiwiZXhwIjpudWxsLCJwdXIiOiJibG9iX2lkIn19--9659ffe263bdc33a50fd9b20983805ab28c57667/ESC-Plan-compressed-1.pdf|en;Press release|https://statehouse.gov.ng/news/what-you-need-to-know-about-the-nigeria-economic-sustainability-plan/|en</t>
  </si>
  <si>
    <t>White Paper on Climate Change Adaptation, Meld St. 33 (2012-2013)</t>
  </si>
  <si>
    <t>Research &amp; Development, knowledge generation|Information</t>
  </si>
  <si>
    <t>Flooding;Droughts;Avalanches;Landslides;Changes In Average Precipitation;Ocean Acidification</t>
  </si>
  <si>
    <t>Full text original pdf|https://climate-laws.org/rails/active_storage/blobs/eyJfcmFpbHMiOnsibWVzc2FnZSI6IkJBaHBBcDRLIiwiZXhwIjpudWxsLCJwdXIiOiJibG9iX2lkIn19--77413658dc6ebc93ca4f7f269ab83bbed3584e63/1518%20Norwegian.pdf|no;full translated text pdf|https://climate-laws.org/rails/active_storage/blobs/eyJfcmFpbHMiOnsibWVzc2FnZSI6IkJBaHBBcDhLIiwiZXhwIjpudWxsLCJwdXIiOiJibG9iX2lkIn19--3ae56dae347387db1b28d74c309849f18d6542dd/1518%20English.pdf|en</t>
  </si>
  <si>
    <t>Electricity Certificates Act, No. 39 of 2011</t>
  </si>
  <si>
    <t>Disclosure obligations|Regulation;Standards, obligations and norms|Regulation;Processes, plans and strategies|Governance</t>
  </si>
  <si>
    <t>24/06/2011|Law passed||</t>
  </si>
  <si>
    <t>original text pdf|https://climate-laws.org/rails/active_storage/blobs/eyJfcmFpbHMiOnsibWVzc2FnZSI6IkJBaHBBcUFLIiwiZXhwIjpudWxsLCJwdXIiOiJibG9iX2lkIn19--8511db02d55e96d4c199bfaa8698a044ba0ae50f/1520%20Norwegian.pdf|no;translated text pdf|https://climate-laws.org/rails/active_storage/blobs/eyJfcmFpbHMiOnsibWVzc2FnZSI6IkJBaHBBcUVLIiwiZXhwIjpudWxsLCJwdXIiOiJibG9iX2lkIn19--71528f384cb24f400ae4f869a78dd2bb73d85813/1520%20English.pdf|en</t>
  </si>
  <si>
    <t>Value Added Tax (VAT) Act No. 58 of 2009</t>
  </si>
  <si>
    <t>19/07/2009|Law passed;25/12/2014|Last amendment</t>
  </si>
  <si>
    <t>Unofficial translation pdf|https://climate-laws.org/rails/active_storage/blobs/eyJfcmFpbHMiOnsibWVzc2FnZSI6IkJBaHBBcUlLIiwiZXhwIjpudWxsLCJwdXIiOiJibG9iX2lkIn19--ee408a3d4cee4f460ef140af4e618a0b2841a428/1522%20English.pdf|en;full text|https://climate-laws.org/rails/active_storage/blobs/eyJfcmFpbHMiOnsibWVzc2FnZSI6IkJBaHBBcU1LIiwiZXhwIjpudWxsLCJwdXIiOiJibG9iX2lkIn19--dc6b8ef2c6715e8bfb994cecca7849534b46c135/1522%20Norwegian.pdf|no</t>
  </si>
  <si>
    <t>Planning and Building Act No. 71 of 2008</t>
  </si>
  <si>
    <t>27/06/2008|Law passed</t>
  </si>
  <si>
    <t>full original text|https://climate-laws.org/rails/active_storage/blobs/eyJfcmFpbHMiOnsibWVzc2FnZSI6IkJBaHBBcVlLIiwiZXhwIjpudWxsLCJwdXIiOiJibG9iX2lkIn19--419046d5d1759bfbf63918e5dc839a7cb72a82dd/1523%20Norwegian.pdf|no;translated version|https://climate-laws.org/rails/active_storage/blobs/eyJfcmFpbHMiOnsibWVzc2FnZSI6IkJBaHBBcWNLIiwiZXhwIjpudWxsLCJwdXIiOiJibG9iX2lkIn19--e9aa54acdf82c3cc29a51fd230fb2c179c88cfbd/1523%20English.pdf|en</t>
  </si>
  <si>
    <t>Greenhouse Gas Emission Trading Act, No. 99 of 2004</t>
  </si>
  <si>
    <t>17/12/2004|Law passed</t>
  </si>
  <si>
    <t>full text|https://climate-laws.org/rails/active_storage/blobs/eyJfcmFpbHMiOnsibWVzc2FnZSI6IkJBaHBBcVFLIiwiZXhwIjpudWxsLCJwdXIiOiJibG9iX2lkIn19--f56c7288497937c6c9bf5b05776ee5ebdac0edb5/1524%20Norwegian.pdf|no;translation|https://climate-laws.org/rails/active_storage/blobs/eyJfcmFpbHMiOnsibWVzc2FnZSI6IkJBaHBBcVVLIiwiZXhwIjpudWxsLCJwdXIiOiJibG9iX2lkIn19--fe9054eee9071f0e59037b630f2ec671fc401341/1524%20English.pdf|en</t>
  </si>
  <si>
    <t>The Energy Act, No. 50 of 1990</t>
  </si>
  <si>
    <t>29/06/1990|Law passed</t>
  </si>
  <si>
    <t>original text|https://climate-laws.org/rails/active_storage/blobs/eyJfcmFpbHMiOnsibWVzc2FnZSI6IkJBaHBBcWdLIiwiZXhwIjpudWxsLCJwdXIiOiJibG9iX2lkIn19--d5df5d1fce672e2440ee54c285dacf2c084b16c3/1525%20Norwegian.pdf|no;translation|https://climate-laws.org/rails/active_storage/blobs/eyJfcmFpbHMiOnsibWVzc2FnZSI6IkJBaHBBcWtLIiwiZXhwIjpudWxsLCJwdXIiOiJibG9iX2lkIn19--ddb8c62f1d55f3281997a549f6c7edfe0597f3cb/1525%20English.pdf|en</t>
  </si>
  <si>
    <t>Product Control Act No. 79 of 1976</t>
  </si>
  <si>
    <t>Energy;Health;Urban;Waste</t>
  </si>
  <si>
    <t>11/06/1976|Law passed</t>
  </si>
  <si>
    <t>original version|https://climate-laws.org/rails/active_storage/blobs/eyJfcmFpbHMiOnsibWVzc2FnZSI6IkJBaHBBcW9LIiwiZXhwIjpudWxsLCJwdXIiOiJibG9iX2lkIn19--1765b726cc9e1eb6a296da95a223479022dc35b7/1526%20Norwegian.pdf|no;translation|https://climate-laws.org/rails/active_storage/blobs/eyJfcmFpbHMiOnsibWVzc2FnZSI6IkJBaHBBcXNLIiwiZXhwIjpudWxsLCJwdXIiOiJibG9iX2lkIn19--5f08400daf7186ee8b5272fb773edd381ee37166/1526%20English.pdf|en</t>
  </si>
  <si>
    <t>Natural Hazards Compensation Act (No. 59 of 2014)</t>
  </si>
  <si>
    <t>Standards, obligations and norms|Regulation;Zoning &amp; Spatial Planning|Regulation;Processes, plans and strategies|Governance;MRV|Governance</t>
  </si>
  <si>
    <t>Floods;Droughts;Storms, Hurricanes, Tsunamis, Cyclones;Landslides;Heat Waves And Heat Stress;Soil Erosion;Sea Level Rise;Changes In Average Temperature</t>
  </si>
  <si>
    <t>Adaptation;Institutions / Administrative Arrangements;Disaster Risk Management</t>
  </si>
  <si>
    <t>Water</t>
  </si>
  <si>
    <t>15/08/2014|Law passed;25/12/2017|Last amendment</t>
  </si>
  <si>
    <t>Full text (PDF)|https://climate-laws.org/rails/active_storage/blobs/eyJfcmFpbHMiOnsibWVzc2FnZSI6IkJBaHBBdVlFIiwiZXhwIjpudWxsLCJwdXIiOiJibG9iX2lkIn19--960b3f45c4eee536b61c641ab23848c512bcd633/f|;Full text (English) (PDF)|https://climate-laws.org/rails/active_storage/blobs/eyJfcmFpbHMiOnsibWVzc2FnZSI6IkJBaHBBdWNFIiwiZXhwIjpudWxsLCJwdXIiOiJibG9iX2lkIn19--fb0771eaad3288f1a37ffad8739bd068510b2812/f|;Full text (PDF)|https://climate-laws.org/rails/active_storage/blobs/eyJfcmFpbHMiOnsibWVzc2FnZSI6IkJBaHBBZzBGIiwiZXhwIjpudWxsLCJwdXIiOiJibG9iX2lkIn19--e99bcd711aa26fd20736b1efc02872043dea4089/f|;Full text (PDF)|https://climate-laws.org/rails/active_storage/blobs/eyJfcmFpbHMiOnsibWVzc2FnZSI6IkJBaHBBaVlGIiwiZXhwIjpudWxsLCJwdXIiOiJibG9iX2lkIn19--f9bc8211106756c1708a9803d9573098a6f15a5f/f|</t>
  </si>
  <si>
    <t>Act No. 7 of 1994 on protection against natural damage</t>
  </si>
  <si>
    <t>25/03/1994|Law passed||;25/12/2019|Last amendment||</t>
  </si>
  <si>
    <t>Full text (PDF)|https://climate-laws.org/rails/active_storage/blobs/eyJfcmFpbHMiOnsibWVzc2FnZSI6IkJBaHBBdVFFIiwiZXhwIjpudWxsLCJwdXIiOiJibG9iX2lkIn19--9c9c266722149850b8440d9f48753b1401ab798f/f|;Full text (English) (PDF)|https://climate-laws.org/rails/active_storage/blobs/eyJfcmFpbHMiOnsibWVzc2FnZSI6IkJBaHBBdVVFIiwiZXhwIjpudWxsLCJwdXIiOiJibG9iX2lkIn19--d146c893cb6bd7436f61dc93860e221d736fde27/f|</t>
  </si>
  <si>
    <t>Norway's climate action plan (Meld. St. 13 2020-2021)</t>
  </si>
  <si>
    <t>Tax incentives|Economic;Provision of climate funds|Direct Investment;Capacity building|Governance;Processes, plans and strategies|Governance;International cooperation|Governance</t>
  </si>
  <si>
    <t>Carbon Pricing;Covid19</t>
  </si>
  <si>
    <t>08/01/2021|Release||</t>
  </si>
  <si>
    <t>Link to official website|https://www.regjeringen.no/en/aktuelt/heilskapeleg-plan-for-a-na-klimamalet/id2827600/|en;Link to full text (PDF)|https://www.regjeringen.no/contentassets/202fec60ac844d4ca7d53d65b6b9ac9c/alle-regjeringa-vil-punkt-i-meldinga.pdf|no</t>
  </si>
  <si>
    <t>Infrastructure</t>
  </si>
  <si>
    <t>Economy-wide;Energy;Environment;Rural;Social development;Urban</t>
  </si>
  <si>
    <t>01/01/2019|Approved||</t>
  </si>
  <si>
    <t>Link to full text on external website|http://extwprlegs1.fao.org/docs/pdf/oma201987.pdf|ar;Full translated text (PDF)|https://isfu.gov.om/2040/Vision_Documents_En.pdf|en</t>
  </si>
  <si>
    <t>Law 69/2017 creating an incentive programme for forest cover and the conservation of natural forests</t>
  </si>
  <si>
    <t>30/10/2017|Law passed</t>
  </si>
  <si>
    <t>Full text|https://climate-laws.org/rails/active_storage/blobs/eyJfcmFpbHMiOnsibWVzc2FnZSI6IkJBaHBBdkFGIiwiZXhwIjpudWxsLCJwdXIiOiJibG9iX2lkIn19--4ee8702fdb83b8b08e9e70fd78048168434f332c/f|;Full text - online version|https://www.gacetaoficial.gob.pa/pdfTemp/28397_C/64285.pdf|</t>
  </si>
  <si>
    <t>National Strategy for Electric Mobility (Cabinet Resolution 103/2019)</t>
  </si>
  <si>
    <t>Capacity building|Governance;Institutional mandates|Governance;Processes, plans and strategies|Governance;Education, training and knowledge dissemination|Information</t>
  </si>
  <si>
    <t>Cycling;Electricity;Ev;Public Transport</t>
  </si>
  <si>
    <t>28/10/2019|Approved||</t>
  </si>
  <si>
    <t>Resolution (PDF)|https://climate-laws.org/rails/active_storage/blobs/eyJfcmFpbHMiOnsibWVzc2FnZSI6IkJBaHBBaDBOIiwiZXhwIjpudWxsLCJwdXIiOiJibG9iX2lkIn19--38b8fc3035a1eb1c86f76ad93a35fd5735b16fb3/GacetaNo_28891c_20191028.pdf|es;Strategy (PDF)|https://climate-laws.org/rails/active_storage/blobs/eyJfcmFpbHMiOnsibWVzc2FnZSI6IkJBaHBBaDROIiwiZXhwIjpudWxsLCJwdXIiOiJibG9iX2lkIn19--8766c6b890d9bc810699cc595c13b924a90eb960/GacetStrat.pdf|es</t>
  </si>
  <si>
    <t>National Strategy for Climate Change 2050 (Executive Decree 34/2019)</t>
  </si>
  <si>
    <t>Coastal Erosion</t>
  </si>
  <si>
    <t>Coastal Erosion;Public Transport</t>
  </si>
  <si>
    <t>24/05/2019|Approved||</t>
  </si>
  <si>
    <t>Link to full text of approving decree (PDF)|http://extwprlegs1.fao.org/docs/pdf/pan190115.pdf|es;Link to strategy on UNPD website|https://www.pa.undp.org/content/panama/es/home/library/environment_energy/estrategia-nacional-de-cambio-climatico-2050.html|es</t>
  </si>
  <si>
    <t>National Forest Strategy for Sustainable Growth</t>
  </si>
  <si>
    <t>Carbon Sink</t>
  </si>
  <si>
    <t>03/06/2019|Approved||</t>
  </si>
  <si>
    <t>Link to approving resolution|http://www.mades.gov.py/2019/06/04/mades-aprueba-la-estrategia-nacional-de-bosques-para-el-crecimiento-sostenible/|es;Link to full text of strategy (PDF)|https://redd.unfccc.int/files/estrategia_nacional_bosques_para_el_crecimiento_sostenible.pdf|es</t>
  </si>
  <si>
    <t>Law to Promote a Market of Biofuels Fuels, Law No. 28054 and corresponding regulations specified in Federal Decree No. 013-2005-EM</t>
  </si>
  <si>
    <t>Other|Direct Investment;Education, training and knowledge dissemination|Information;Research &amp; Development, knowledge generation|Information</t>
  </si>
  <si>
    <t>Agriculture;Industry;LULUCF;Residential and Commercial</t>
  </si>
  <si>
    <t>15/07/2003|Law passed;31/03/2005|Federal Decree issued</t>
  </si>
  <si>
    <t>Full text|https://climate-laws.org/rails/active_storage/blobs/eyJfcmFpbHMiOnsibWVzc2FnZSI6IkJBaHBBaE1KIiwiZXhwIjpudWxsLCJwdXIiOiJibG9iX2lkIn19--74b0ea430489912faac50b48b1cce2ad450ce417/f|;Full text - part 2|https://climate-laws.org/rails/active_storage/blobs/eyJfcmFpbHMiOnsibWVzc2FnZSI6IkJBaHBBaFFKIiwiZXhwIjpudWxsLCJwdXIiOiJibG9iX2lkIn19--8417347a1dc2389c552a5ae8326a7f4eb943c752/f|</t>
  </si>
  <si>
    <t>Law to Promote Efficient Use of Energy, Law No. 27345 and Executive Decree No. 053-2007-EM to Regulate Corresponding Law No. 27345</t>
  </si>
  <si>
    <t>Standards, obligations and norms|Regulation;Processes, plans and strategies|Governance;Subnational and citizen participation|Governance;International cooperation|Governance;Education, training and knowledge dissemination|Information</t>
  </si>
  <si>
    <t>Research And Development;Energy Demand;Transportation</t>
  </si>
  <si>
    <t>08/09/2000|Law passed;23/10/2007|Executive Decree issued</t>
  </si>
  <si>
    <t>Full text|https://climate-laws.org/rails/active_storage/blobs/eyJfcmFpbHMiOnsibWVzc2FnZSI6IkJBaHBBaEFKIiwiZXhwIjpudWxsLCJwdXIiOiJibG9iX2lkIn19--bda292a320ec0001f797c9e275583279a17e19df/f|;Full text - part 2|https://climate-laws.org/rails/active_storage/blobs/eyJfcmFpbHMiOnsibWVzc2FnZSI6IkJBaHBBaEVKIiwiZXhwIjpudWxsLCJwdXIiOiJibG9iX2lkIn19--6858d42644654648e77233e3fec6a8009fadbc53/f|</t>
  </si>
  <si>
    <t>National Strategy on Climate Change to 2050 (ENCC)</t>
  </si>
  <si>
    <t>Floods;Storms, Hurricanes, Tsunamis, Cyclones;Landslides;Heat Waves And Heat Stress;Cold Waves</t>
  </si>
  <si>
    <t>Adaptation;Research And Development;Energy Supply;Energy Demand;Redd+ And Lulucf;Transportation</t>
  </si>
  <si>
    <t>Economy-wide;Energy;Industry;LULUCF;Transportation;Waste;Water</t>
  </si>
  <si>
    <t>23/09/2015|Law passed||;03/02/2022|Amended||</t>
  </si>
  <si>
    <t>2015 Decree (pdf)|https://climate-laws.org/rails/active_storage/blobs/eyJfcmFpbHMiOnsibWVzc2FnZSI6IkJBaHBBbDRJIiwiZXhwIjpudWxsLCJwdXIiOiJibG9iX2lkIn19--b97157d50beea6616d903506f4c0227d5969d07a/f|es;2015 Strategy (pdf)|https://climate-laws.org/rails/active_storage/blobs/eyJfcmFpbHMiOnsibWVzc2FnZSI6IkJBaHBBbDhJIiwiZXhwIjpudWxsLCJwdXIiOiJibG9iX2lkIn19--236f693a1d8dc8ec468a8692149ec514b1915b27/f|es;Link to official website|https://www.gob.pe/institucion/minam/campa%C3%B1as/3453-estrategia-nacional-ante-el-cambio-climatico-al-2050|es</t>
  </si>
  <si>
    <t>Framework Law no 30754 on Climate Change</t>
  </si>
  <si>
    <t>Nature based solutions and ecosystem restoration|Direct Investment;Capacity building|Governance;Processes, plans and strategies|Governance</t>
  </si>
  <si>
    <t>Wildfires</t>
  </si>
  <si>
    <t>Energy;LULUCF;Transportation;Waste</t>
  </si>
  <si>
    <t>18/04/2018|Law passed||;01/01/2020|Decree approved||</t>
  </si>
  <si>
    <t>full text (pdf)|http://www.lse.ac.uk/GranthamInstitute/wp-content/uploads/2018/04/1638161-1.pdf|es;Decree approving the regulation (link to official journal)|https://busquedas.elperuano.pe/normaslegales/decreto-supremo-que-aprueba-el-reglamento-de-la-ley-n-30754-decreto-supremo-n-013-2019-minam-1842032-2/|es</t>
  </si>
  <si>
    <t>Action Plan on Gender and Climate Change and Executive Decree No. 012-2016-MINAM</t>
  </si>
  <si>
    <t>Energy;Health;LULUCF;Residential and Commercial;Waste;Water</t>
  </si>
  <si>
    <t>24/07/2016|Law passed||</t>
  </si>
  <si>
    <t>Full text -- Decree (PDF) (Spanish)|https://climate-laws.org/rails/active_storage/blobs/eyJfcmFpbHMiOnsibWVzc2FnZSI6IkJBaHBBck1GIiwiZXhwIjpudWxsLCJwdXIiOiJibG9iX2lkIn19--ed7fbaff43ed2098d732f2dc444041cb99e80ca1/f|;Full text -- Action Plan (PDF) (Spanish)|https://climate-laws.org/rails/active_storage/blobs/eyJfcmFpbHMiOnsibWVzc2FnZSI6IkJBaHBBclFGIiwiZXhwIjpudWxsLCJwdXIiOiJibG9iX2lkIn19--bdaaa4f086a80cf91b19bf0e4514ff9d06f43845/f|</t>
  </si>
  <si>
    <t>National Strategy for the Restoration of Ecosystems and Degraded Forest Lands (ProRest 2021-2030)</t>
  </si>
  <si>
    <t>Reforestation;Carbon Sink</t>
  </si>
  <si>
    <t>03/08/2021|Approved||</t>
  </si>
  <si>
    <t>Link to full text (PDF)|https://cdn.www.gob.pe/uploads/document/file/2039629/Estrategia_ProREST_vf_21_07_2021FF_1F_2.pdf.pdf|es;Ministerial Resolution 338- 2020-MIDAGRI (PDF)|https://climate-laws.org/rails/active_storage/blobs/eyJfcmFpbHMiOnsibWVzc2FnZSI6IkJBaHBBamNPIiwiZXhwIjpudWxsLCJwdXIiOiJibG9iX2lkIn19--a97a8259cef5eefe4104c31c1a911fdd866adf25/R.%20M.%20N%C2%B0%200338-2020-MIDAGRI.pdf|es</t>
  </si>
  <si>
    <t>The Climate Change Act (RA 9729), and its Implementing Rules and Regulations (IRR, Administrative Order No. 2010-01)</t>
  </si>
  <si>
    <t>Fires;Floods;Droughts;Cyclones;Tsunamis;Storms;Hurricanes;Sea Level Rise;Changes In Average Temperature</t>
  </si>
  <si>
    <t>Agriculture;Health;LULUCF;Residential and Commercial;Water</t>
  </si>
  <si>
    <t>27/07/2009|Law passed||;20/01/2010|Law published||</t>
  </si>
  <si>
    <t>Full text|https://climate-laws.org/rails/active_storage/blobs/eyJfcmFpbHMiOnsibWVzc2FnZSI6IkJBaHBBbzBHIiwiZXhwIjpudWxsLCJwdXIiOiJibG9iX2lkIn19--80bbdf505f7eef690fe77f2ecc89bdc20507b2f3/f|;Full text - part 2|https://climate-laws.org/rails/active_storage/blobs/eyJfcmFpbHMiOnsibWVzc2FnZSI6IkJBaHBBbzRHIiwiZXhwIjpudWxsLCJwdXIiOiJibG9iX2lkIn19--321e8ab05896fc734ba2c79b4e7d49eb07f84809/f|</t>
  </si>
  <si>
    <t>Renewable Energy Act (RA9513) and corresponding circular DC2015-07-0014</t>
  </si>
  <si>
    <t>16/12/2008|Approved by President||</t>
  </si>
  <si>
    <t>Full text|https://climate-laws.org/rails/active_storage/blobs/eyJfcmFpbHMiOnsibWVzc2FnZSI6IkJBaHBBZ2tKIiwiZXhwIjpudWxsLCJwdXIiOiJibG9iX2lkIn19--46418d090212aeddd7315539e3a0805bf3d2293e/f|;Full text Circular (PDF) |https://climate-laws.org/rails/active_storage/blobs/eyJfcmFpbHMiOnsibWVzc2FnZSI6IkJBaHBBdWtNIiwiZXhwIjpudWxsLCJwdXIiOiJibG9iX2lkIn19--9d9f9c4f5e170d8aca80ba9a3f57f0bea080c0af/2015%20DoE%20DC%202015-07-0014%20Renewable%20Energy%20Share%20in%20Installed%20Capacity%20Circular.pdf|en</t>
  </si>
  <si>
    <t>Biofuels Acts RA 9367 and amending Act RA 10745</t>
  </si>
  <si>
    <t>Institutions / Administrative Arrangements;Research And Development;Energy Supply;Renewables;Biofuels</t>
  </si>
  <si>
    <t>17/05/2006|Approved||;12/01/2007|Law passed||;06/02/2011|Approved||;27/07/2015|Law passed||;24/06/2016|Approved||</t>
  </si>
  <si>
    <t>Full text RA 9367|https://climate-laws.org/rails/active_storage/blobs/eyJfcmFpbHMiOnsibWVzc2FnZSI6IkJBaHBBZ2NKIiwiZXhwIjpudWxsLCJwdXIiOiJibG9iX2lkIn19--e818b07784c3dd8f643fbf51153089e9083fff31/f|en;Full text RA 10745 (WORD)|https://climate-laws.org/rails/active_storage/blobs/eyJfcmFpbHMiOnsibWVzc2FnZSI6IkJBaHBBdk1NIiwiZXhwIjpudWxsLCJwdXIiOiJibG9iX2lkIn19--33046e18a3a399d644fe63c6d8a4c5c53f91059f/2016%20RA%2010745%20Amended%20Biofuels%20Act%20of%202006(1).docx|en;Full text DC 2007-05-0006 (PDF) |https://climate-laws.org/rails/active_storage/blobs/eyJfcmFpbHMiOnsibWVzc2FnZSI6IkJBaHBBdlFNIiwiZXhwIjpudWxsLCJwdXIiOiJibG9iX2lkIn19--c4e49d74ada8b950783da707c0492e3fa17ba5c4/2007%20DoE%20DC%202007-05-0006%20Biofuels%20Act%20IRR.pdf|en;Full text DC 2011-02-0001 (PDF)|https://climate-laws.org/rails/active_storage/blobs/eyJfcmFpbHMiOnsibWVzc2FnZSI6IkJBaHBBdlVNIiwiZXhwIjpudWxsLCJwdXIiOiJibG9iX2lkIn19--9a11c773695cffcf195c666a59f9cd193fd82772/2011%20DoE%20DC%202011-02-0001%20Mandatory%20Use%20of%20Biofuel%20Blend.pdf|en;Full text DC 2016-07-0012 (PDF)|https://climate-laws.org/rails/active_storage/blobs/eyJfcmFpbHMiOnsibWVzc2FnZSI6IkJBaHBBdllNIiwiZXhwIjpudWxsLCJwdXIiOiJibG9iX2lkIn19--964ed82602e8d1ed76f79e9201ba3b156fa23624/2016%20DoE%20DC%202016-07-0012%20Amended%20Biofuels%20Act%20of%202006%20IRR.pdf|en</t>
  </si>
  <si>
    <t>Executive orders 774/2008 and 785/2009 on the Presidential Task Force On Climate Change</t>
  </si>
  <si>
    <t>Climate Change</t>
  </si>
  <si>
    <t>26/12/2008|Approved||;26/02/2009|Amended||</t>
  </si>
  <si>
    <t>Full text for 785/2009 (PDF)|https://climate-laws.org/rails/active_storage/blobs/eyJfcmFpbHMiOnsibWVzc2FnZSI6IkJBaHBBdVVNIiwiZXhwIjpudWxsLCJwdXIiOiJibG9iX2lkIn19--15af386d4280bbcc68c977b8586b4d39d694d62f/2009%20EO%20785%20Mandating%20the%20PTFCC%20to%20develop%20the%20National%20Climate%20Change%20Framework.pdf|en;Link to non-official website for 774/2008|https://lawphil.net/executive/execord/eo2008/eo_774_2008.html|</t>
  </si>
  <si>
    <t>Energy Supply;Buildings;Transportation;Renewables;Biofuels;Agriculture;Energy Efficiency</t>
  </si>
  <si>
    <t>01/10/2016|Approved||</t>
  </si>
  <si>
    <t>Full text to 2016-2030 version (PDF)|https://climate-laws.org/rails/active_storage/blobs/eyJfcmFpbHMiOnsibWVzc2FnZSI6IkJBaHBBdXNNIiwiZXhwIjpudWxsLCJwdXIiOiJibG9iX2lkIn19--38b3fb613927a944d2924b7ae99afd1285145c9d/2016%20Philippine%20Energy%20Plan%202016-2030(2).pdf|en;Link to full text of 2018-2040 plan|https://www.doe.gov.ph/sites/default/files/pdf/pep/Philippine%20Plan%202018-2040.pdf|</t>
  </si>
  <si>
    <t>Moratorium on endorsements for greenfield coal power plants</t>
  </si>
  <si>
    <t>Moratorium;Fossil Fuels Curbing Measures</t>
  </si>
  <si>
    <t>27/10/2020|Approved||</t>
  </si>
  <si>
    <t>Link to announcement|https://www.doe.gov.ph/press-releases/doe-sec-cusi-declares-moratorium-endorsements-greenfield-coal-power-plants?ckattempt=1|en;Link to advisory memorandum|https://www.doe.gov.ph/announcements/advisory-moratorium-endorsements-greenfield-coal-fired-power-projects-line-improving?ckattempt=1|en</t>
  </si>
  <si>
    <t>National Security Policy 2017-2022 and National Security Strategy</t>
  </si>
  <si>
    <t>Disaster Risk Management;National Security</t>
  </si>
  <si>
    <t>Disaster Risk Management (Drm);Economy-wide</t>
  </si>
  <si>
    <t>01/04/2017|Policy approved||;01/01/2018|Strategy approved||</t>
  </si>
  <si>
    <t>Link to full text of 2017-2022 policy|https://nsc.gov.ph/attachments/article/NSP/NSP-2017-2022.pdf|en;Link to full text of strategy|https://apcss.org/wp-content/uploads/2020/02/Philippines-National_Security_Strategy_2018.pdf|en</t>
  </si>
  <si>
    <t>Polish National Strategy for Adaptation to climate Change (SAP 2020)</t>
  </si>
  <si>
    <t>Standards, obligations and norms|Regulation;Zoning &amp; Spatial Planning|Regulation;Processes, plans and strategies|Governance;Research &amp; Development, knowledge generation|Information</t>
  </si>
  <si>
    <t>Floods;Droughts;Storms, Hurricanes, Tsunamis, Cyclones;Hail/Frost;Landslides;Wildfires;Heat Waves And Heat Stress;Soil Erosion;Sea Level Rise;Cold Waves</t>
  </si>
  <si>
    <t>Agriculture;Coastal zones;Economy-wide;Environment;LULUCF;Water</t>
  </si>
  <si>
    <t>29/10/2013|Law passed</t>
  </si>
  <si>
    <t>Original text (pdf)|https://climate-laws.org/rails/active_storage/blobs/eyJfcmFpbHMiOnsibWVzc2FnZSI6IkJBaHBBcXdLIiwiZXhwIjpudWxsLCJwdXIiOiJibG9iX2lkIn19--64a5b6c0561a56396c12ed23e21beac1a7b1191d/1560%20Polish.pdf|pl;English translation (pdf)|https://climate-laws.org/rails/active_storage/blobs/eyJfcmFpbHMiOnsibWVzc2FnZSI6IkJBaHBBcTBLIiwiZXhwIjpudWxsLCJwdXIiOiJibG9iX2lkIn19--c217f3a8a847691fb59d2086d4a64fe07c525741/1560%20English.pdf|en</t>
  </si>
  <si>
    <t>Energy Policy of Poland until 2030 and 2040 (PEP 2030 and PEP 2040)</t>
  </si>
  <si>
    <t>Institutions / Administrative Arrangements;Research And Development;Energy Supply;Energy Demand;Transportation;Limits On Fossil Fuels;Coal Phase Out;Fossil Fuels Curbing Measures</t>
  </si>
  <si>
    <t>Agriculture;Energy;Industry;Residential and Commercial;Transportation</t>
  </si>
  <si>
    <t>01/11/2009|Law passed||;08/09/2020|Last amended||;02/02/2021|PEP 2040 validated by government resolution||</t>
  </si>
  <si>
    <t>Translation (PEP 2030)|https://climate-laws.org/rails/active_storage/blobs/eyJfcmFpbHMiOnsibWVzc2FnZSI6IkJBaHBBcTRLIiwiZXhwIjpudWxsLCJwdXIiOiJibG9iX2lkIn19--cd25f272fd2ab088fab1f16526f35c5d92c38078/1564%20English.pdf|en;Original text (PEP 2030)|https://climate-laws.org/rails/active_storage/blobs/eyJfcmFpbHMiOnsibWVzc2FnZSI6IkJBaHBBcThLIiwiZXhwIjpudWxsLCJwdXIiOiJibG9iX2lkIn19--afbb02d29b1e00329a8a2e3eff79140618fc52df/1564%20Polish.pdf|pl;PEP 2040 official draft from 2019|https://climate-laws.org/rails/active_storage/blobs/eyJfcmFpbHMiOnsibWVzc2FnZSI6IkJBaHBBdkFNIiwiZXhwIjpudWxsLCJwdXIiOiJibG9iX2lkIn19--2977a8738e6d5a65d4175cb3be24d3dd675ce61a/EN_Extract_EPP2040.pdf|en</t>
  </si>
  <si>
    <t>Energy Law (Dz.U. 1997 nr 54 poz. 348)</t>
  </si>
  <si>
    <t>10/04/1997|Law passed||;01/10/2005|climate-relevant amendment||;01/09/2015|Amended||;02/06/2021|Amended||</t>
  </si>
  <si>
    <t>Original version|https://climate-laws.org/rails/active_storage/blobs/eyJfcmFpbHMiOnsibWVzc2FnZSI6IkJBaHBBdE1LIiwiZXhwIjpudWxsLCJwdXIiOiJibG9iX2lkIn19--f8ecace2f62be728a75600f1a3b037176fe00d9b/2005%20Polish.pdf|pl;Translation|https://climate-laws.org/rails/active_storage/blobs/eyJfcmFpbHMiOnsibWVzc2FnZSI6IkJBaHBBdFFLIiwiZXhwIjpudWxsLCJwdXIiOiJibG9iX2lkIn19--c7346d790b4cd07edb983a03633bb0d6dda05e19/2005%20English.pdf|en</t>
  </si>
  <si>
    <t>Act on Biocomponents and Liquid Biofuels (Dz.U. 2006 nr 169 poz. 1199)</t>
  </si>
  <si>
    <t>Institutional mandates|Governance</t>
  </si>
  <si>
    <t>Agriculture;Energy;Environment;Transportation</t>
  </si>
  <si>
    <t>25/08/2006|Law passed;23/07/2013|regulation issued;01/01/2015|Law amended;06/06/2018|Law amended|Establishment of the Low-Emission Transport Fund</t>
  </si>
  <si>
    <t>Full text|https://climate-laws.org/rails/active_storage/blobs/eyJfcmFpbHMiOnsibWVzc2FnZSI6IkJBaHBBaDRJIiwiZXhwIjpudWxsLCJwdXIiOiJibG9iX2lkIn19--3a3f935e79a49f6728971653d70dab3a6c5e9271/f|;2018 Amending Act - link to Official Journal|http://prawo.sejm.gov.pl/isap.nsf/DocDetails.xsp?id=WDU20180001356|pl</t>
  </si>
  <si>
    <t>Act on Renewable Energy Sources ('RES Act', Dz.U. 2015 poz. 478)</t>
  </si>
  <si>
    <t>Agriculture;Energy;Transportation</t>
  </si>
  <si>
    <t>20/02/2015|Law passed||;29/08/2019|Amendmed||;14/08/2021|Amended||</t>
  </si>
  <si>
    <t>Full text|https://climate-laws.org/rails/active_storage/blobs/eyJfcmFpbHMiOnsibWVzc2FnZSI6IkJBaHBBaDBJIiwiZXhwIjpudWxsLCJwdXIiOiJibG9iX2lkIn19--cc2d78b75f39dc6eb95610801af4b33e2a3b6ae3/f|pl;Link to 2021 amendment on official website|https://www.sejm.gov.pl/sejm9.nsf/PrzebiegProc.xsp?nr=1129|pl</t>
  </si>
  <si>
    <t>Act on investments in the field of wind power (Dz.U. 2016 pos. 961)</t>
  </si>
  <si>
    <t>20/05/2016|Law passed;29/06/2018|Last amendment</t>
  </si>
  <si>
    <t>full text (pdf)|http://www.lse.ac.uk/GranthamInstitute/wp-content/uploads/2018/03/D2016000096101.pdf|pl;full text|http://prawo.sejm.gov.pl/isap.nsf/DocDetails.xsp?id=WDU20160000961|pl</t>
  </si>
  <si>
    <t>Electromobility Development Plan</t>
  </si>
  <si>
    <t>16/03/2017|Plan adopted</t>
  </si>
  <si>
    <t>Link to official page with full text and annexes in PDF|https://www.gov.pl/web/aktywa-panstwowe/elektromobilnosc-w-polsce|pl;Official translation|https://climate-laws.org/rails/active_storage/blobs/eyJfcmFpbHMiOnsibWVzc2FnZSI6IkJBaHBBcnNMIiwiZXhwIjpudWxsLCJwdXIiOiJibG9iX2lkIn19--a3b72c9b510d4f4bf2944f809bcadca485fa3840/DIT_PRE_EN.pdf|en</t>
  </si>
  <si>
    <t>Act amending the Personal Income Tax Act and the Corporate Income Tax Act</t>
  </si>
  <si>
    <t>20/12/2019|Law passed;20/02/2020|Entry into force</t>
  </si>
  <si>
    <t>Link to official journal|https://www.prawo.pl/akty/dz-u-2020-183,18953737.html|pl;Full text (PDF)|http://prawo.sejm.gov.pl/isap.nsf/download.xsp/WDU20200000183/T/D20200183L.pdf|pl</t>
  </si>
  <si>
    <t>Minister of State Assets Ordinances on resources from the Low-Emission Transport Fund</t>
  </si>
  <si>
    <t>Hydrogen;Ev</t>
  </si>
  <si>
    <t>05/11/2019|Regulation 2189 issued||;23/12/2019|Regulation 2538 issued||</t>
  </si>
  <si>
    <t>Link to regulation 2189/2019 on Official Journal |http://prawo.sejm.gov.pl/isap.nsf/DocDetails.xsp?id=WDU20190002189|pl;Link to regulation 2538/2019 on Official Journal |http://prawo.sejm.gov.pl/isap.nsf/DocDetails.xsp?id=WDU20190002538|pl</t>
  </si>
  <si>
    <t>Poland's National Energy and Climate Plan for 2021-2030</t>
  </si>
  <si>
    <t>Capacity building|Governance;Processes, plans and strategies|Governance;Research &amp; Development, knowledge generation|Information</t>
  </si>
  <si>
    <t>Energy Supply;Biofuels;Subsidies;Biogas;Agriculture;Taxes</t>
  </si>
  <si>
    <t>Agriculture;Economy-wide;Energy;Health;Transportation</t>
  </si>
  <si>
    <t>English summary (PDF)|https://ec.europa.eu/energy/sites/ener/files/documents/pl_final_necp_summary_en.pdf|en;Original version (PDF)|https://ec.europa.eu/energy/sites/ener/files/documents/pl_final_necp_main_pl.pdf|pl</t>
  </si>
  <si>
    <t>Law on Disaster Response, Management and Preparedness</t>
  </si>
  <si>
    <t>Afghanistan</t>
  </si>
  <si>
    <t>AFG</t>
  </si>
  <si>
    <t>https://climate-laws.org/rails/active_storage/blobs/eyJfcmFpbHMiOnsibWVzc2FnZSI6IkJBaHBBczhHIiwiZXhwIjpudWxsLCJwdXIiOiJibG9iX2lkIn19--4e27f8fbe94a3cff706ea55e80d68f0beb270161/f|en</t>
  </si>
  <si>
    <t>https://climate-laws.org/rails/active_storage/blobs/eyJfcmFpbHMiOnsibWVzc2FnZSI6IkJBaHBBczhHIiwiZXhwIjpudWxsLCJwdXIiOiJibG9iX2lkIn19--4e27f8fbe94a3cff706ea55e80d68f0beb270161/f</t>
  </si>
  <si>
    <t>Marcus</t>
  </si>
  <si>
    <t>Dari</t>
  </si>
  <si>
    <t>https://climate-laws.org/rails/active_storage/blobs/eyJfcmFpbHMiOnsibWVzc2FnZSI6IkJBaHBBbFlNIiwiZXhwIjpudWxsLCJwdXIiOiJibG9iX2lkIn19--60aeeb8a653d951c1ad086e9ed8e0533daf24154/%D9%82%D8%A7%D9%86%D9%88%D9%86%20%D8%A2%D9%85%D8%A7%D8%AF%DA%AF%DB%8C%20%D9%85%D8%A8%D8%A7%D8%B1%D8%B2%D9%87%20%D8%A8%D8%A7%20%D8%AD%D9%88%D8%A7%D8%AF%D8%AB_Law%20on%20Disaster%20Response%20Management%20and%20Preparedness_Dari%20Version.pd.pdf|</t>
  </si>
  <si>
    <t>https://climate-laws.org/rails/active_storage/blobs/eyJfcmFpbHMiOnsibWVzc2FnZSI6IkJBaHBBbFlNIiwiZXhwIjpudWxsLCJwdXIiOiJibG9iX2lkIn19--60aeeb8a653d951c1ad086e9ed8e0533daf24154/%D9%82%D8%A7%D9%86%D9%88%D9%86%20%D8%A2%D9%85%D8%A7%D8%AF%DA%AF%DB%8C%20%D9%85%D8%A8%D8%A7%D8%B1%D8%B2%D9%87%20%D8%A8%D8%A7%20%D8%AD%D9%88%D8%A7%D8%AF%D8%AB_Law%20on%20Disaster%20Response%20Management%20and%20Preparedness_Dari%20Version.pd.pdf</t>
  </si>
  <si>
    <t>Pashto</t>
  </si>
  <si>
    <t>Algeria</t>
  </si>
  <si>
    <t>DZA</t>
  </si>
  <si>
    <t>https://climate-laws.org/rails/active_storage/blobs/eyJfcmFpbHMiOnsibWVzc2FnZSI6IkJBaHBBbW9IIiwiZXhwIjpudWxsLCJwdXIiOiJibG9iX2lkIn19--8f2d8a74a035c2459107a5ad08cf6816ca16b402/c|</t>
  </si>
  <si>
    <t>https://climate-laws.org/rails/active_storage/blobs/eyJfcmFpbHMiOnsibWVzc2FnZSI6IkJBaHBBbW9IIiwiZXhwIjpudWxsLCJwdXIiOiJibG9iX2lkIn19--8f2d8a74a035c2459107a5ad08cf6816ca16b402/c</t>
  </si>
  <si>
    <t>Loi no 99-09 du 28 juillet 1999 relative à la maîtrise de l'énergie</t>
  </si>
  <si>
    <t>https://climate-laws.org/rails/active_storage/blobs/eyJfcmFpbHMiOnsibWVzc2FnZSI6IkJBaHBBbXNIIiwiZXhwIjpudWxsLCJwdXIiOiJibG9iX2lkIn19--8c62f90e227182fe85bab83757279c57ae9d8acc/f|</t>
  </si>
  <si>
    <t>https://climate-laws.org/rails/active_storage/blobs/eyJfcmFpbHMiOnsibWVzc2FnZSI6IkJBaHBBbXNIIiwiZXhwIjpudWxsLCJwdXIiOiJibG9iX2lkIn19--8c62f90e227182fe85bab83757279c57ae9d8acc/f</t>
  </si>
  <si>
    <t>Decret del 24-10-2012 pel qual s’aproven les condicions de compra de l’energia elèctrica generada en instal·lacions fotovoltaiques</t>
  </si>
  <si>
    <t>Andorra</t>
  </si>
  <si>
    <t>AND</t>
  </si>
  <si>
    <t>Catalan</t>
  </si>
  <si>
    <t>https://climate-laws.org/rails/active_storage/blobs/eyJfcmFpbHMiOnsibWVzc2FnZSI6IkJBaHBBbEFJIiwiZXhwIjpudWxsLCJwdXIiOiJibG9iX2lkIn19--f343d56a020930968bd786f27cdd19f8cce12eaa/f|ca</t>
  </si>
  <si>
    <t>https://climate-laws.org/rails/active_storage/blobs/eyJfcmFpbHMiOnsibWVzc2FnZSI6IkJBaHBBbEFJIiwiZXhwIjpudWxsLCJwdXIiOiJibG9iX2lkIn19--f343d56a020930968bd786f27cdd19f8cce12eaa/f</t>
  </si>
  <si>
    <t>Decret del 22-3-2017 de modificació del Decret de les condicions de compra de l’energia elèctrica generada en instal·lacions fotovoltaiques, del 24 d’octubre del 2012</t>
  </si>
  <si>
    <t>https://www.bopa.ad/bopa/029020/Pagines/GD20170324_10_28_12.aspx|ca</t>
  </si>
  <si>
    <t>https://www.bopa.ad/bopa/029020/Pagines/GD20170324_10_28_12.aspx</t>
  </si>
  <si>
    <t>Decret del 15-03-2017 pel qual s’aprova el Reglament d’ajuts econòmics per a la mobilitat elèctrica i per a la millora de l’eficiència energètica i de la seguretat del parc automobilístic nacional</t>
  </si>
  <si>
    <t>https://www.bopa.ad/bopa/029018/Pagines/GD20170317_11_37_47.aspx|ca</t>
  </si>
  <si>
    <t>https://www.bopa.ad/bopa/029018/Pagines/GD20170317_11_37_47.aspx</t>
  </si>
  <si>
    <t>Decret de l’11-3-2020 de modificació del Reglament d’ajuts econòmics per a la mobilitat elèctrica i per a la millora de l’eficiència energètica i de la seguretat del parc automobilístic nacional, del 15 de març del 2017</t>
  </si>
  <si>
    <t>https://www.bopa.ad/bopa/032029/Pagines/GD20200312_15_02_09.aspx|ca</t>
  </si>
  <si>
    <t>https://www.bopa.ad/bopa/032029/Pagines/GD20200312_15_02_09.aspx</t>
  </si>
  <si>
    <t>Decret del 19-6-2019 de modificació del Reglament d’ajuts econòmics per a la mobilitat elèctrica i per a la millora de l’eficiència energètica i de la seguretat del parc automobilístic nacional, del 15 de març del 2017</t>
  </si>
  <si>
    <t>https://www.bopa.ad/bopa/031059/Pagines/GD20190628_09_11_13.aspx|ca</t>
  </si>
  <si>
    <t>https://www.bopa.ad/bopa/031059/Pagines/GD20190628_09_11_13.aspx</t>
  </si>
  <si>
    <t>Llei 4-2016, del 10 de març, de foment del vehicle elèctric</t>
  </si>
  <si>
    <t>Law 4-2016, of March 10, on the promotion of electric vehicles</t>
  </si>
  <si>
    <t>http://www.consellgeneral.ad/ca/arxiu/arxiu-de-lleis-i-textos-aprovats-en-legislatures-anteriors/vii-legislatura-2015-2019/copy_of_lleis-aprovades/llei-4-2016-del-10-de-marc-de-foment-del-vehicle-electric|ca</t>
  </si>
  <si>
    <t>http://www.consellgeneral.ad/ca/arxiu/arxiu-de-lleis-i-textos-aprovats-en-legislatures-anteriors/vii-legislatura-2015-2019/copy_of_lleis-aprovades/llei-4-2016-del-10-de-marc-de-foment-del-vehicle-electric</t>
  </si>
  <si>
    <t>Llei 15/2016, del 20 d’octubre, de modificació de la Llei 4/2016, del 10 de març, de foment del vehicle elèctric</t>
  </si>
  <si>
    <t>https://www.bopa.ad/bopa/028067/Pagines/CGL20161109_11_13_11.aspx|ca</t>
  </si>
  <si>
    <t>https://www.bopa.ad/bopa/028067/Pagines/CGL20161109_11_13_11.aspx</t>
  </si>
  <si>
    <t>Decret del 19-2-2020 pel qual s’aprova el Reglament del programa d’ajuts per a la millora del parc immobiliari nacional, la millora de l’eficiència energètica dels edificis i l’ús de les energies renovables</t>
  </si>
  <si>
    <t>https://www.bopa.ad/bopa/032016/Pagines/GD20200220_16_01_19.aspx|ca</t>
  </si>
  <si>
    <t>https://www.bopa.ad/bopa/032016/Pagines/GD20200220_16_01_19.aspx</t>
  </si>
  <si>
    <t>Edicte del 27-1-2021 pel qual es fa pública l’obertura de la convocatòria dels ajuts del programa Renova per a la millora del parc immobiliari nacional, la millora de l’eficiència energètica dels edificis i l’ús de les energies renovables per al 2021</t>
  </si>
  <si>
    <t>Edict</t>
  </si>
  <si>
    <t>https://www.bopa.ad/bopa/033016/Pagines/GSUB20210129_09_43_58.aspx|ca</t>
  </si>
  <si>
    <t>https://www.bopa.ad/bopa/033016/Pagines/GSUB20210129_09_43_58.aspx</t>
  </si>
  <si>
    <t>Environmental Protection and Management Act 10/2019</t>
  </si>
  <si>
    <t>Antigua and Barbuda</t>
  </si>
  <si>
    <t>ATG</t>
  </si>
  <si>
    <t>https://climate-laws.org/rails/active_storage/blobs/eyJfcmFpbHMiOnsibWVzc2FnZSI6IkJBaHBBbUlHIiwiZXhwIjpudWxsLCJwdXIiOiJibG9iX2lkIn19--72a9d7d5f232992f9d91c449c268244352fcbb22/f|en</t>
  </si>
  <si>
    <t>https://climate-laws.org/rails/active_storage/blobs/eyJfcmFpbHMiOnsibWVzc2FnZSI6IkJBaHBBbUlHIiwiZXhwIjpudWxsLCJwdXIiOiJibG9iX2lkIn19--72a9d7d5f232992f9d91c449c268244352fcbb22/f</t>
  </si>
  <si>
    <t>Environmental Protection and Management Act 11/2015</t>
  </si>
  <si>
    <t>http://laws.gov.ag/wp-content/uploads/2019/08/No.-10-of-2019-Environmental-Protection-and-Management-Bill-2019.pdf|en</t>
  </si>
  <si>
    <t>http://laws.gov.ag/wp-content/uploads/2019/08/No.-10-of-2019-Environmental-Protection-and-Management-Bill-2019.pdf</t>
  </si>
  <si>
    <t>Physical Planning Act 2003</t>
  </si>
  <si>
    <t>https://climate-laws.org/rails/active_storage/blobs/eyJfcmFpbHMiOnsibWVzc2FnZSI6IkJBaHBBcWNHIiwiZXhwIjpudWxsLCJwdXIiOiJibG9iX2lkIn19--a296b6f70667b9355997d562ee15b280abe44b78/f|</t>
  </si>
  <si>
    <t>https://climate-laws.org/rails/active_storage/blobs/eyJfcmFpbHMiOnsibWVzc2FnZSI6IkJBaHBBcWNHIiwiZXhwIjpudWxsLCJwdXIiOiJibG9iX2lkIn19--a296b6f70667b9355997d562ee15b280abe44b78/f</t>
  </si>
  <si>
    <t>Sustainable Island Resource Management Zoning Plan</t>
  </si>
  <si>
    <t>https://climate-laws.org/rails/active_storage/blobs/eyJfcmFpbHMiOnsibWVzc2FnZSI6IkJBaHBBcWdHIiwiZXhwIjpudWxsLCJwdXIiOiJibG9iX2lkIn19--d156e142db3159854cc7d95417d577d0c2dd2e9a/f|</t>
  </si>
  <si>
    <t>https://climate-laws.org/rails/active_storage/blobs/eyJfcmFpbHMiOnsibWVzc2FnZSI6IkJBaHBBcWdHIiwiZXhwIjpudWxsLCJwdXIiOiJibG9iX2lkIn19--d156e142db3159854cc7d95417d577d0c2dd2e9a/f</t>
  </si>
  <si>
    <t>National Physical Development Plan</t>
  </si>
  <si>
    <t>https://climate-laws.org/rails/active_storage/blobs/eyJfcmFpbHMiOnsibWVzc2FnZSI6IkJBaHBBcWtHIiwiZXhwIjpudWxsLCJwdXIiOiJibG9iX2lkIn19--29e15c091b652fc37c713c641d195b5fa9884456/f|</t>
  </si>
  <si>
    <t>https://climate-laws.org/rails/active_storage/blobs/eyJfcmFpbHMiOnsibWVzc2FnZSI6IkJBaHBBcWtHIiwiZXhwIjpudWxsLCJwdXIiOiJibG9iX2lkIn19--29e15c091b652fc37c713c641d195b5fa9884456/f</t>
  </si>
  <si>
    <t>Emergency Powers (Hurricane, Earthquake, Fire or Flood) Act No. 5/57</t>
  </si>
  <si>
    <t>https://climate-laws.org/rails/active_storage/blobs/eyJfcmFpbHMiOnsibWVzc2FnZSI6IkJBaHBBZ1lGIiwiZXhwIjpudWxsLCJwdXIiOiJibG9iX2lkIn19--6b14d714abf250a5e5b0871c0542bf1b7d52cdce/f|</t>
  </si>
  <si>
    <t>https://climate-laws.org/rails/active_storage/blobs/eyJfcmFpbHMiOnsibWVzc2FnZSI6IkJBaHBBZ1lGIiwiZXhwIjpudWxsLCJwdXIiOiJibG9iX2lkIn19--6b14d714abf250a5e5b0871c0542bf1b7d52cdce/f</t>
  </si>
  <si>
    <t>Disaster Management Act No. 13/02</t>
  </si>
  <si>
    <t>https://climate-laws.org/rails/active_storage/blobs/eyJfcmFpbHMiOnsibWVzc2FnZSI6IkJBaHBBZ2NGIiwiZXhwIjpudWxsLCJwdXIiOiJibG9iX2lkIn19--c761d667f889063f0464fa8a1a0fd98495b53dee/f|</t>
  </si>
  <si>
    <t>https://climate-laws.org/rails/active_storage/blobs/eyJfcmFpbHMiOnsibWVzc2FnZSI6IkJBaHBBZ2NGIiwiZXhwIjpudWxsLCJwdXIiOiJibG9iX2lkIn19--c761d667f889063f0464fa8a1a0fd98495b53dee/f</t>
  </si>
  <si>
    <t>Ley 26.190 Regimen de Fomento Nacional para el uso de fuentes renovables de energía destinada a la producción de energía eléctrica</t>
  </si>
  <si>
    <t>Law 26.190 National Development Regime for the Use of Renewable Energy Sources for the Production of Electricity</t>
  </si>
  <si>
    <t>Argentina</t>
  </si>
  <si>
    <t>ARG</t>
  </si>
  <si>
    <t>https://climate-laws.org/rails/active_storage/blobs/eyJfcmFpbHMiOnsibWVzc2FnZSI6IkJBaHBBaUFJIiwiZXhwIjpudWxsLCJwdXIiOiJibG9iX2lkIn19--54965c8a86b93863b75bd0c9dafd230d26974a5d/f|es</t>
  </si>
  <si>
    <t>https://climate-laws.org/rails/active_storage/blobs/eyJfcmFpbHMiOnsibWVzc2FnZSI6IkJBaHBBaUFJIiwiZXhwIjpudWxsLCJwdXIiOiJibG9iX2lkIn19--54965c8a86b93863b75bd0c9dafd230d26974a5d/f</t>
  </si>
  <si>
    <t>Ley 26.190 Regimen de Fomento Nacional para el uso de fuentes renovables de energíadestinada a la producción de energía eléctrica</t>
  </si>
  <si>
    <t>https://climate-laws.org/rails/active_storage/blobs/eyJfcmFpbHMiOnsibWVzc2FnZSI6IkJBaHBBdGNLIiwiZXhwIjpudWxsLCJwdXIiOiJibG9iX2lkIn19--34d2e8e4f4d64d5a415ef712cad18ab7e79a0665/2007%20(2).pdf|es</t>
  </si>
  <si>
    <t>https://climate-laws.org/rails/active_storage/blobs/eyJfcmFpbHMiOnsibWVzc2FnZSI6IkJBaHBBdGNLIiwiZXhwIjpudWxsLCJwdXIiOiJibG9iX2lkIn19--34d2e8e4f4d64d5a415ef712cad18ab7e79a0665/2007%20(2).pdf</t>
  </si>
  <si>
    <t>Decreto Reglamentario 531 / 2016</t>
  </si>
  <si>
    <t>https://www.argentina.gob.ar/normativa/nacional/decreto-531-2016-259883|es</t>
  </si>
  <si>
    <t>https://www.argentina.gob.ar/normativa/nacional/decreto-531-2016-259883</t>
  </si>
  <si>
    <t>Ley 27191</t>
  </si>
  <si>
    <t>https://climate-laws.org/rails/active_storage/blobs/eyJfcmFpbHMiOnsibWVzc2FnZSI6IkJBaHBBaDhJIiwiZXhwIjpudWxsLCJwdXIiOiJibG9iX2lkIn19--60f7eef4bcbe53d7ecb81be2309e2adf5c01e2f3/f|es</t>
  </si>
  <si>
    <t>https://climate-laws.org/rails/active_storage/blobs/eyJfcmFpbHMiOnsibWVzc2FnZSI6IkJBaHBBaDhJIiwiZXhwIjpudWxsLCJwdXIiOiJibG9iX2lkIn19--60f7eef4bcbe53d7ecb81be2309e2adf5c01e2f3/f</t>
  </si>
  <si>
    <t>https://climate-laws.org/rails/active_storage/blobs/eyJfcmFpbHMiOnsibWVzc2FnZSI6IkJBaHBBdGdLIiwiZXhwIjpudWxsLCJwdXIiOiJibG9iX2lkIn19--0714e2aae7f870680c357364a997ba54a63b5ef7/2008%20(2).pdf|es</t>
  </si>
  <si>
    <t>https://climate-laws.org/rails/active_storage/blobs/eyJfcmFpbHMiOnsibWVzc2FnZSI6IkJBaHBBdGdLIiwiZXhwIjpudWxsLCJwdXIiOiJibG9iX2lkIn19--0714e2aae7f870680c357364a997ba54a63b5ef7/2008%20(2).pdf</t>
  </si>
  <si>
    <t>Decreto 476/2019</t>
  </si>
  <si>
    <t>https://www.boletinoficial.gob.ar/detalleAviso/primera/211142/20190711|</t>
  </si>
  <si>
    <t>https://www.boletinoficial.gob.ar/detalleAviso/primera/211142/20190711</t>
  </si>
  <si>
    <t>Decreto 548/2019</t>
  </si>
  <si>
    <t>https://www.boletinoficial.gob.ar/detalleAviso/primera/213104/20190808|</t>
  </si>
  <si>
    <t>https://www.boletinoficial.gob.ar/detalleAviso/primera/213104/20190808</t>
  </si>
  <si>
    <t>Armenia Development Strategy for 2014-2025</t>
  </si>
  <si>
    <t>Armenia</t>
  </si>
  <si>
    <t>ARM</t>
  </si>
  <si>
    <t>https://climate-laws.org/rails/active_storage/blobs/eyJfcmFpbHMiOnsibWVzc2FnZSI6IkJBaHBBblFHIiwiZXhwIjpudWxsLCJwdXIiOiJibG9iX2lkIn19--2948f48509633f5c3cf72424bddee0d31629686b/f|</t>
  </si>
  <si>
    <t>https://climate-laws.org/rails/active_storage/blobs/eyJfcmFpbHMiOnsibWVzc2FnZSI6IkJBaHBBblFHIiwiZXhwIjpudWxsLCJwdXIiOiJibG9iX2lkIn19--2948f48509633f5c3cf72424bddee0d31629686b/f</t>
  </si>
  <si>
    <t>ՀԱՅԱՍՏԱՆԻ ՀԱՆՐԱՊԵՏՈՒԹՅԱՆ 2014-2025 ԹԹ. ՀԵՌԱՆԿԱՐԱՅԻՆ ԶԱՐԳԱՑՄԱՆ ՌԱԶՄԱՎԱՐԱԿԱՆ ԾՐԱԳԻՐ</t>
  </si>
  <si>
    <t>Armenian</t>
  </si>
  <si>
    <t>https://climate-laws.org/rails/active_storage/blobs/eyJfcmFpbHMiOnsibWVzc2FnZSI6IkJBaHBBblVHIiwiZXhwIjpudWxsLCJwdXIiOiJibG9iX2lkIn19--e79574bc216e716dd387789879b72db2b155c6d3/f|</t>
  </si>
  <si>
    <t>https://climate-laws.org/rails/active_storage/blobs/eyJfcmFpbHMiOnsibWVzc2FnZSI6IkJBaHBBblVHIiwiZXhwIjpudWxsLCJwdXIiOiJibG9iX2lkIn19--e79574bc216e716dd387789879b72db2b155c6d3/f</t>
  </si>
  <si>
    <t>Summary of the Strategy of the Main Directions Ensuring Economic Development in Agricultural Sector of the Republic of Armenia for 2020-2030</t>
  </si>
  <si>
    <t>https://mineconomy.am/media/10033/Razmavarutyun_Hamarotagir_Angleren.pdf|en</t>
  </si>
  <si>
    <t>https://mineconomy.am/media/10033/Razmavarutyun_Hamarotagir_Angleren.pdf</t>
  </si>
  <si>
    <t>Action Plan 2020-2022 for the Implementation of the Strategy of the Main Directions Ensuring Economic Development in Agricultural Sector of the Republic of Armenia for 2020-2030</t>
  </si>
  <si>
    <t>Action plan</t>
  </si>
  <si>
    <t>https://mineconomy.am/media/10032/MijocarumneriTsragir_Angleren.pdf|en</t>
  </si>
  <si>
    <t>https://mineconomy.am/media/10032/MijocarumneriTsragir_Angleren.pdf</t>
  </si>
  <si>
    <t>Decree No 955-A on Approving the Composition and Rules of Procedure of the Inter-Agency Coordinating Council on Implementation of Requirements and Provisions of the UN Framework Convention on Climate Change</t>
  </si>
  <si>
    <t>http://extwprlegs1.fao.org/docs/pdf/arm137939E.pdf|en</t>
  </si>
  <si>
    <t>http://extwprlegs1.fao.org/docs/pdf/arm137939E.pdf</t>
  </si>
  <si>
    <t>Decree N719-A on Establishing an Inter-Agency Coordinating Council on Implementation of Requirements and Provisions of the United Nations Framework Convention on Climate Change and the Paris Agreement, Approving its Composition and Rules of Procedure, and on Invalidating Decree N955-A of the Prime Minister of the Republic of Armenia dated October 2, 2012</t>
  </si>
  <si>
    <t>https://climate-laws.org/rails/active_storage/blobs/eyJfcmFpbHMiOnsibWVzc2FnZSI6IkJBaHBBdndPIiwiZXhwIjpudWxsLCJwdXIiOiJibG9iX2lkIn19--ad71c00fbef290008dde44f9ab83c5603ed08dfe/CC%20Council_PM%20Decree%20%23719-A_06JUL2021_eng.docx|en</t>
  </si>
  <si>
    <t>https://climate-laws.org/rails/active_storage/blobs/eyJfcmFpbHMiOnsibWVzc2FnZSI6IkJBaHBBdndPIiwiZXhwIjpudWxsLCJwdXIiOiJibG9iX2lkIn19--ad71c00fbef290008dde44f9ab83c5603ed08dfe/CC%20Council_PM%20Decree%20%23719-A_06JUL2021_eng.docx</t>
  </si>
  <si>
    <t>Australian National Registry of Emissions Units Act 2011</t>
  </si>
  <si>
    <t>Australia</t>
  </si>
  <si>
    <t>AUS</t>
  </si>
  <si>
    <t>https://www.legislation.gov.au/Details/C2016C00155|en</t>
  </si>
  <si>
    <t>https://www.legislation.gov.au/Details/C2016C00155</t>
  </si>
  <si>
    <t>Emissions Reduction Fund</t>
  </si>
  <si>
    <t>https://www.industry.gov.au/funding-and-incentives/emissions-reduction-fund|en</t>
  </si>
  <si>
    <t>https://www.industry.gov.au/funding-and-incentives/emissions-reduction-fund</t>
  </si>
  <si>
    <t>Reef 2050 Long-Term Sustainability Plan</t>
  </si>
  <si>
    <t>https://www.environment.gov.au/system/files/resources/d98b3e53-146b-4b9c-a84a-2a22454b9a83/files/reef-2050-long-term-sustainability-plan.pdf|</t>
  </si>
  <si>
    <t>https://www.environment.gov.au/system/files/resources/d98b3e53-146b-4b9c-a84a-2a22454b9a83/files/reef-2050-long-term-sustainability-plan.pdf</t>
  </si>
  <si>
    <t>https://climate-laws.org/rails/active_storage/blobs/eyJfcmFpbHMiOnsibWVzc2FnZSI6IkJBaHBBcTRGIiwiZXhwIjpudWxsLCJwdXIiOiJibG9iX2lkIn19--59d4f83953dc755ab21df179007c460088e57a4a/f|</t>
  </si>
  <si>
    <t>https://climate-laws.org/rails/active_storage/blobs/eyJfcmFpbHMiOnsibWVzc2FnZSI6IkJBaHBBcTRGIiwiZXhwIjpudWxsLCJwdXIiOiJibG9iX2lkIn19--59d4f83953dc755ab21df179007c460088e57a4a/f</t>
  </si>
  <si>
    <t>Australia's National Hydrogen Strategy</t>
  </si>
  <si>
    <t>https://www.industry.gov.au/data-and-publications/australias-national-hydrogen-strategy|en</t>
  </si>
  <si>
    <t>https://www.industry.gov.au/data-and-publications/australias-national-hydrogen-strategy</t>
  </si>
  <si>
    <t>https://www.industry.gov.au/sites/default/files/2019-11/australias-national-hydrogen-strategy.pdf|en</t>
  </si>
  <si>
    <t>https://www.industry.gov.au/sites/default/files/2019-11/australias-national-hydrogen-strategy.pdf</t>
  </si>
  <si>
    <t>Australia's Long-Term Emissions Reduction Plan</t>
  </si>
  <si>
    <t>https://www.industry.gov.au/sites/default/files/October%202021/document/australias-long-term-emissions-reduction-plan.pdf|en</t>
  </si>
  <si>
    <t>https://www.industry.gov.au/sites/default/files/October%202021/document/australias-long-term-emissions-reduction-plan.pdf</t>
  </si>
  <si>
    <t>The Plan to Deliver Net Zero the Australian Way</t>
  </si>
  <si>
    <t>https://www.industry.gov.au/sites/default/files/October%202021/document/the-plan-to-deliver-net-zero-the-australian-way.pdf|en</t>
  </si>
  <si>
    <t>https://www.industry.gov.au/sites/default/files/October%202021/document/the-plan-to-deliver-net-zero-the-australian-way.pdf</t>
  </si>
  <si>
    <t>Technology Investment Roadmap</t>
  </si>
  <si>
    <t>https://www.industry.gov.au/data-and-publications/technology-investment-roadmap|en</t>
  </si>
  <si>
    <t>https://www.industry.gov.au/data-and-publications/technology-investment-roadmap</t>
  </si>
  <si>
    <t>Low Emissions Technology Statement 2021</t>
  </si>
  <si>
    <t>https://www.industry.gov.au/sites/default/files/November%202021/document/low-emissions-technology-statement-2021.pdf|en</t>
  </si>
  <si>
    <t>https://www.industry.gov.au/sites/default/files/November%202021/document/low-emissions-technology-statement-2021.pdf</t>
  </si>
  <si>
    <t>First Low Emissions Technology Statement - 2020</t>
  </si>
  <si>
    <t>https://www.industry.gov.au/sites/default/files/September%202020/document/first-low-emissions-technology-statement-2020.pdf|</t>
  </si>
  <si>
    <t>https://www.industry.gov.au/sites/default/files/September%202020/document/first-low-emissions-technology-statement-2020.pdf</t>
  </si>
  <si>
    <t>Bundesrecht konsolidiert: Gesamte Rechtsvorschrift für Klimaschutzgesetz</t>
  </si>
  <si>
    <t>Austria</t>
  </si>
  <si>
    <t>AUT</t>
  </si>
  <si>
    <t>https://www.ris.bka.gv.at/GeltendeFassung.wxe?Abfrage=Bundesnormen&amp;Gesetzesnummer=20007500|de</t>
  </si>
  <si>
    <t>https://www.ris.bka.gv.at/GeltendeFassung.wxe?Abfrage=Bundesnormen&amp;Gesetzesnummer=20007500</t>
  </si>
  <si>
    <t>Bundesgesetz: Verwaltungsreformgesetz BMLFUW</t>
  </si>
  <si>
    <t>https://rdb.manz.at/document/ris.c.BGBl__I_Nr__58_2017|de</t>
  </si>
  <si>
    <t>https://rdb.manz.at/document/ris.c.BGBl__I_Nr__58_2017</t>
  </si>
  <si>
    <t>Integrated National Energy and Climate Plan for Austria</t>
  </si>
  <si>
    <t>https://ec.europa.eu/energy/sites/ener/files/documents/at_final_necp_main_en.pdf|en</t>
  </si>
  <si>
    <t>https://ec.europa.eu/energy/sites/ener/files/documents/at_final_necp_main_en.pdf</t>
  </si>
  <si>
    <t>Integrierter nationaler Energie- und Klimaplan für Österreich</t>
  </si>
  <si>
    <t>https://ec.europa.eu/energy/sites/ener/files/documents/at_final_necp_main_de.pdf|de</t>
  </si>
  <si>
    <t>https://ec.europa.eu/energy/sites/ener/files/documents/at_final_necp_main_de.pdf</t>
  </si>
  <si>
    <t>Steuerreformgesetz 2020</t>
  </si>
  <si>
    <t>https://www.parlament.gv.at/PAKT/VHG/XXVI/A/A_00984/index.shtml|de</t>
  </si>
  <si>
    <t>https://www.parlament.gv.at/PAKT/VHG/XXVI/A/A_00984/index.shtml</t>
  </si>
  <si>
    <t>https://climate-laws.org/rails/active_storage/blobs/eyJfcmFpbHMiOnsibWVzc2FnZSI6IkJBaHBBbFVNIiwiZXhwIjpudWxsLCJwdXIiOiJibG9iX2lkIn19--91eb7d8d3d167d713358e084a5d1e007838551d8/fname_761193.pdf|de</t>
  </si>
  <si>
    <t>https://climate-laws.org/rails/active_storage/blobs/eyJfcmFpbHMiOnsibWVzc2FnZSI6IkJBaHBBbFVNIiwiZXhwIjpudWxsLCJwdXIiOiJibG9iX2lkIn19--91eb7d8d3d167d713358e084a5d1e007838551d8/fname_761193.pdf</t>
  </si>
  <si>
    <t>Ökosoziales Steuerreformgesetz 2022 Teil I</t>
  </si>
  <si>
    <t>https://www.parlament.gv.at/PAKT/VHG/XXVII/I/I_01293/index.shtml|de</t>
  </si>
  <si>
    <t>https://www.parlament.gv.at/PAKT/VHG/XXVII/I/I_01293/index.shtml</t>
  </si>
  <si>
    <t>Der EU-Aufbauplan: Wirtschaftliches Comeback mit grünem und digitalem Schwerpunkt</t>
  </si>
  <si>
    <t>https://www.bundeskanzleramt.gv.at/eu-aufbauplan/der-eu-aufbauplan.html|de</t>
  </si>
  <si>
    <t>https://www.bundeskanzleramt.gv.at/eu-aufbauplan/der-eu-aufbauplan.html</t>
  </si>
  <si>
    <t>Council Implementing Decision on the Approval of the Assessment of the Recovery and Resilience Plan for Austria</t>
  </si>
  <si>
    <t>https://data.consilium.europa.eu/doc/document/ST-10159-2021-COR-1/en/pdf|en</t>
  </si>
  <si>
    <t>https://data.consilium.europa.eu/doc/document/ST-10159-2021-COR-1/en/pdf</t>
  </si>
  <si>
    <t>Österreichischer Aufbau- und Resilienzplan 2020-2026</t>
  </si>
  <si>
    <t>Recovery and Resilience Plan for Austria 2020-2026</t>
  </si>
  <si>
    <t>https://climate-laws.org/rails/active_storage/blobs/eyJfcmFpbHMiOnsibWVzc2FnZSI6IkJBaHBBdkVPIiwiZXhwIjpudWxsLCJwdXIiOiJibG9iX2lkIn19--12d0422f5cfbbadf1e9405e37aee912128eaea81/Oesterreichischer-Aufbau-und-Resilienzplan-2020-2026.pdf|de</t>
  </si>
  <si>
    <t>https://climate-laws.org/rails/active_storage/blobs/eyJfcmFpbHMiOnsibWVzc2FnZSI6IkJBaHBBdkVPIiwiZXhwIjpudWxsLCJwdXIiOiJibG9iX2lkIn19--12d0422f5cfbbadf1e9405e37aee912128eaea81/Oesterreichischer-Aufbau-und-Resilienzplan-2020-2026.pdf</t>
  </si>
  <si>
    <t>Annex to the Council Implementing Decision on the Approval of the Assessment of the Recovery and Resilience Plan for Austria</t>
  </si>
  <si>
    <t>https://data.consilium.europa.eu/doc/document/ST-10159-2021-ADD-1/en/pdf|en</t>
  </si>
  <si>
    <t>https://data.consilium.europa.eu/doc/document/ST-10159-2021-ADD-1/en/pdf</t>
  </si>
  <si>
    <t>قرار رقم (٥١) لسنة ٢٠٠٧ بإنشاء اللجنة المشتركة لتغير المناخ</t>
  </si>
  <si>
    <t>Bahrain</t>
  </si>
  <si>
    <t>BHR</t>
  </si>
  <si>
    <t>http://extwprlegs1.fao.org/docs/pdf/bah89463.pdf|ar</t>
  </si>
  <si>
    <t>http://extwprlegs1.fao.org/docs/pdf/bah89463.pdf</t>
  </si>
  <si>
    <t>قرار رقم (57) لسنة 2015</t>
  </si>
  <si>
    <t>http://faolex.fao.org/docs/pdf/bah152956.pdf|ar</t>
  </si>
  <si>
    <t>http://faolex.fao.org/docs/pdf/bah152956.pdf</t>
  </si>
  <si>
    <t>Act No 13 of 2003</t>
  </si>
  <si>
    <t>Bangladesh</t>
  </si>
  <si>
    <t>BGD</t>
  </si>
  <si>
    <t>http://www.lse.ac.uk/GranthamInstitute/wp-content/uploads/laws/1059.pdf|en</t>
  </si>
  <si>
    <t>http://www.lse.ac.uk/GranthamInstitute/wp-content/uploads/laws/1059.pdf</t>
  </si>
  <si>
    <t>sl</t>
  </si>
  <si>
    <t>https://climate-laws.org/rails/active_storage/blobs/eyJfcmFpbHMiOnsibWVzc2FnZSI6IkJBaHBBbkVLIiwiZXhwIjpudWxsLCJwdXIiOiJibG9iX2lkIn19--a2d37f2fefcb06a5dbf3f4f81c6ab7e19def00e5/1059Amendment2010.pdf|bn</t>
  </si>
  <si>
    <t>https://climate-laws.org/rails/active_storage/blobs/eyJfcmFpbHMiOnsibWVzc2FnZSI6IkJBaHBBbkVLIiwiZXhwIjpudWxsLCJwdXIiOiJibG9iX2lkIn19--a2d37f2fefcb06a5dbf3f4f81c6ab7e19def00e5/1059Amendment2010.pdf</t>
  </si>
  <si>
    <t>Electric Light and Power Act, 2013-2021</t>
  </si>
  <si>
    <t>Barbados</t>
  </si>
  <si>
    <t>BRB</t>
  </si>
  <si>
    <t>https://climate-laws.org/rails/active_storage/blobs/eyJfcmFpbHMiOnsibWVzc2FnZSI6IkJBaHBBbG9HIiwiZXhwIjpudWxsLCJwdXIiOiJibG9iX2lkIn19--468a894a3d01154ad1c4b35e343dfafa20ac9069/f|</t>
  </si>
  <si>
    <t>https://climate-laws.org/rails/active_storage/blobs/eyJfcmFpbHMiOnsibWVzc2FnZSI6IkJBaHBBbG9HIiwiZXhwIjpudWxsLCJwdXIiOiJibG9iX2lkIn19--468a894a3d01154ad1c4b35e343dfafa20ac9069/f</t>
  </si>
  <si>
    <t>Electric Light and Power (Amendment) Act, 2015-17</t>
  </si>
  <si>
    <t>https://climate-laws.org/rails/active_storage/blobs/eyJfcmFpbHMiOnsibWVzc2FnZSI6IkJBaHBBbHNHIiwiZXhwIjpudWxsLCJwdXIiOiJibG9iX2lkIn19--bbcd2d16a6991a5e90c53e6aa2f33c3f7e54504b/f|</t>
  </si>
  <si>
    <t>https://climate-laws.org/rails/active_storage/blobs/eyJfcmFpbHMiOnsibWVzc2FnZSI6IkJBaHBBbHNHIiwiZXhwIjpudWxsLCJwdXIiOiJibG9iX2lkIn19--bbcd2d16a6991a5e90c53e6aa2f33c3f7e54504b/f</t>
  </si>
  <si>
    <t>Belarus</t>
  </si>
  <si>
    <t>BLR</t>
  </si>
  <si>
    <t>Belarussian</t>
  </si>
  <si>
    <t>https://climate-laws.org/rails/active_storage/blobs/eyJfcmFpbHMiOnsibWVzc2FnZSI6IkJBaHBBaGNLIiwiZXhwIjpudWxsLCJwdXIiOiJibG9iX2lkIn19--58132381b32ddcd90f41cb0c7db6aab1dfa27caa/F|</t>
  </si>
  <si>
    <t>https://climate-laws.org/rails/active_storage/blobs/eyJfcmFpbHMiOnsibWVzc2FnZSI6IkJBaHBBaGNLIiwiZXhwIjpudWxsLCJwdXIiOiJibG9iX2lkIn19--58132381b32ddcd90f41cb0c7db6aab1dfa27caa/F</t>
  </si>
  <si>
    <t>https://climate-laws.org/rails/active_storage/blobs/eyJfcmFpbHMiOnsibWVzc2FnZSI6IkJBaHBBaGdLIiwiZXhwIjpudWxsLCJwdXIiOiJibG9iX2lkIn19--fb4578ece26d712bd4ec2485de353212699ec4e2/F|</t>
  </si>
  <si>
    <t>https://climate-laws.org/rails/active_storage/blobs/eyJfcmFpbHMiOnsibWVzc2FnZSI6IkJBaHBBaGdLIiwiZXhwIjpudWxsLCJwdXIiOiJibG9iX2lkIn19--fb4578ece26d712bd4ec2485de353212699ec4e2/F</t>
  </si>
  <si>
    <t>Loi relative aux volumes nominaux minimaux de biocarburants durables qui doivent être incorporés dans les volumes de carburants fossiles mis annuellement à la consommation</t>
  </si>
  <si>
    <t>Belgium</t>
  </si>
  <si>
    <t>BEL</t>
  </si>
  <si>
    <t>http://www.lse.ac.uk/GranthamInstitute/wp-content/uploads/laws/1073.pdf|fr</t>
  </si>
  <si>
    <t>http://www.lse.ac.uk/GranthamInstitute/wp-content/uploads/laws/1073.pdf</t>
  </si>
  <si>
    <t>Loi modifiant la loi du 17 juillet 2013 relative aux volumes nominaux minimaux de biocarburants durables qui doivent être incorporés dans les volumes de carburants fossiles mis annuellement à la consommation</t>
  </si>
  <si>
    <t>https://climate-laws.org/rails/active_storage/blobs/eyJfcmFpbHMiOnsibWVzc2FnZSI6IkJBaHBBbklLIiwiZXhwIjpudWxsLCJwdXIiOiJibG9iX2lkIn19--8f2e47fa5ec5804c07b77682c4b7fa7d15f3ed2c/1073modification2015.pdf|fr</t>
  </si>
  <si>
    <t>https://climate-laws.org/rails/active_storage/blobs/eyJfcmFpbHMiOnsibWVzc2FnZSI6IkJBaHBBbklLIiwiZXhwIjpudWxsLCJwdXIiOiJibG9iX2lkIn19--8f2e47fa5ec5804c07b77682c4b7fa7d15f3ed2c/1073modification2015.pdf</t>
  </si>
  <si>
    <t>Loi modifiant la loi du 12 avril 1965 relative au transport de produits gazeux et autres par canalisations et la loi du 29 avril 1999 relative à l’organisation du marché de l’électricité, en vue de réduire le cout du déploiement des réseaux de communications électroniques à haut débit</t>
  </si>
  <si>
    <t>http://www.lse.ac.uk/GranthamInstitute/wp-content/uploads/laws/1079%20-%20modification%20in%202017.pdf|fr</t>
  </si>
  <si>
    <t>http://www.lse.ac.uk/GranthamInstitute/wp-content/uploads/laws/1079%20-%20modification%20in%202017.pdf</t>
  </si>
  <si>
    <t>Loi relative à l’organisation du marché de l’électricité</t>
  </si>
  <si>
    <t>http://www.lse.ac.uk/GranthamInstitute/wp-content/uploads/laws/1079.pdf|fr</t>
  </si>
  <si>
    <t>http://www.lse.ac.uk/GranthamInstitute/wp-content/uploads/laws/1079.pdf</t>
  </si>
  <si>
    <t>Loi modifiant la loi du 29 avril 1999 relative à l'organisation du marché de l'électricité en vue d'introduire une procédure de mise en concurrence pour la construction et l'exploitation d'installations de production dans les espaces marins sous la juridiction de la Belgique et ratifiant l'arrêté royal du 11 février 2019, modifiant l'arrêté royal du 16 juillet 2002 relatif à l'établissement de mécanismes visant la promotion de l'électricité produite à partir de sources d'énergie renouvelables</t>
  </si>
  <si>
    <t>http://www.ejustice.just.fgov.be/cgi/article_body.pl?language=fr&amp;pub_date=2019-05-24&amp;caller=summary&amp;numac=2019030491|fr</t>
  </si>
  <si>
    <t>http://www.ejustice.just.fgov.be/cgi/article_body.pl?language=fr&amp;pub_date=2019-05-24&amp;caller=summary&amp;numac=2019030491</t>
  </si>
  <si>
    <t>Loi relative à la coordination de la politique fédérale de développement durable</t>
  </si>
  <si>
    <t>http://www.ejustice.just.fgov.be/cgi_loi/change_lg.pl?language=fr&amp;la=F&amp;table_name=loi&amp;cn=1997050535%20%20|fr</t>
  </si>
  <si>
    <t>http://www.ejustice.just.fgov.be/cgi_loi/change_lg.pl?language=fr&amp;la=F&amp;table_name=loi&amp;cn=1997050535%20%20</t>
  </si>
  <si>
    <t>Le plan fédéral de Développement durable</t>
  </si>
  <si>
    <t>https://www.developpementdurable.be/fr/politique-federale/strategie-federale/instruments/le-plan-federal-de-developpement-durable|fr</t>
  </si>
  <si>
    <t>https://www.developpementdurable.be/fr/politique-federale/strategie-federale/instruments/le-plan-federal-de-developpement-durable</t>
  </si>
  <si>
    <t>Plan national énergie-climat: Partie A - Plan national</t>
  </si>
  <si>
    <t>https://ec.europa.eu/energy/sites/ener/files/documents/be_final_necp_parta_fr.pdf|fr</t>
  </si>
  <si>
    <t>https://ec.europa.eu/energy/sites/ener/files/documents/be_final_necp_parta_fr.pdf</t>
  </si>
  <si>
    <t>Plan national énergie-climat: Partie B - Base analytique</t>
  </si>
  <si>
    <t>https://ec.europa.eu/energy/sites/ener/files/documents/be_final_necp_partb_fr.pdf|fr</t>
  </si>
  <si>
    <t>https://ec.europa.eu/energy/sites/ener/files/documents/be_final_necp_partb_fr.pdf</t>
  </si>
  <si>
    <t>Nationaal energie- en klimaatplan: Deel A - Nationaal Plan</t>
  </si>
  <si>
    <t>https://ec.europa.eu/energy/sites/ener/files/documents/be_final_necp_parta_nl.pdf|nl</t>
  </si>
  <si>
    <t>https://ec.europa.eu/energy/sites/ener/files/documents/be_final_necp_parta_nl.pdf</t>
  </si>
  <si>
    <t>Nationaal energie- en klimaatplan: Deel B - Analytische basis</t>
  </si>
  <si>
    <t>https://ec.europa.eu/energy/sites/ener/files/documents/be_final_necp_partb_nl.pdf|nl</t>
  </si>
  <si>
    <t>https://ec.europa.eu/energy/sites/ener/files/documents/be_final_necp_partb_nl.pdf</t>
  </si>
  <si>
    <t>Belgium’s recovery and resilience plan</t>
  </si>
  <si>
    <t>https://ec.europa.eu/info/business-economy-euro/recovery-coronavirus/recovery-and-resilience-facility/belgiums-recovery-and-resilience-plan_en#belgiums-recovery-and-resilience-plan|en</t>
  </si>
  <si>
    <t>https://ec.europa.eu/info/business-economy-euro/recovery-coronavirus/recovery-and-resilience-facility/belgiums-recovery-and-resilience-plan_en#belgiums-recovery-and-resilience-plan</t>
  </si>
  <si>
    <t>https://www.consilium.europa.eu/en/documents-publications/public-register/public-register-search/results/?WordsInSubject=&amp;WordsInText=&amp;DocumentNumber=10161%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</si>
  <si>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10161%2F21&amp;InterinstitutionalFiles=&amp;DocumentDateFrom=&amp;DocumentDateTo=&amp;MeetingDateFrom=&amp;MeetingDateTo=&amp;DocumentLanguage=EN&amp;OrderBy=DOCUMENT_DATE+DESC&amp;ctl00%24ctl00%24cpMain%24cpMain%24btnSubmit=</t>
  </si>
  <si>
    <t>Nationaal Plan voor Herstel en Veerkracht</t>
  </si>
  <si>
    <t>https://dermine.belgium.be/sites/default/files/articles/NL%20-%20Nationaal%20plan%20voor%20herstel%20een%20veerkracht_1.pdf|nl</t>
  </si>
  <si>
    <t>https://dermine.belgium.be/sites/default/files/articles/NL%20-%20Nationaal%20plan%20voor%20herstel%20een%20veerkracht_1.pdf</t>
  </si>
  <si>
    <t>Plan national pour la reprise et la résilience</t>
  </si>
  <si>
    <t>https://climate-laws.org/rails/active_storage/blobs/eyJfcmFpbHMiOnsibWVzc2FnZSI6IkJBaHBBdmtPIiwiZXhwIjpudWxsLCJwdXIiOiJibG9iX2lkIn19--a01749a6586a1900fb7eb860228b2e3ac0cb5d4d/FR%20-%20Plan%20national%20pour%20la%20reprise%20et%20la%20r%C3%A9silience.pdf|fr</t>
  </si>
  <si>
    <t>https://climate-laws.org/rails/active_storage/blobs/eyJfcmFpbHMiOnsibWVzc2FnZSI6IkJBaHBBdmtPIiwiZXhwIjpudWxsLCJwdXIiOiJibG9iX2lkIn19--a01749a6586a1900fb7eb860228b2e3ac0cb5d4d/FR%20-%20Plan%20national%20pour%20la%20reprise%20et%20la%20r%C3%A9silience.pdf</t>
  </si>
  <si>
    <t>Decreto Supremo No 2472</t>
  </si>
  <si>
    <t>Bolivia</t>
  </si>
  <si>
    <t>BOL</t>
  </si>
  <si>
    <t>https://climate-laws.org/rails/active_storage/blobs/eyJfcmFpbHMiOnsibWVzc2FnZSI6IkJBaHBBa0FGIiwiZXhwIjpudWxsLCJwdXIiOiJibG9iX2lkIn19--4951785ce4764906f393a8fbcfc97ad16b900ec7/f|</t>
  </si>
  <si>
    <t>https://climate-laws.org/rails/active_storage/blobs/eyJfcmFpbHMiOnsibWVzc2FnZSI6IkJBaHBBa0FGIiwiZXhwIjpudWxsLCJwdXIiOiJibG9iX2lkIn19--4951785ce4764906f393a8fbcfc97ad16b900ec7/f</t>
  </si>
  <si>
    <t>Decreto Supremo No 2854</t>
  </si>
  <si>
    <t>https://climate-laws.org/rails/active_storage/blobs/eyJfcmFpbHMiOnsibWVzc2FnZSI6IkJBaHBBa0VGIiwiZXhwIjpudWxsLCJwdXIiOiJibG9iX2lkIn19--76921fb408d72bf3384c0e8f03f713a311b6a4a0/f|</t>
  </si>
  <si>
    <t>https://climate-laws.org/rails/active_storage/blobs/eyJfcmFpbHMiOnsibWVzc2FnZSI6IkJBaHBBa0VGIiwiZXhwIjpudWxsLCJwdXIiOiJibG9iX2lkIn19--76921fb408d72bf3384c0e8f03f713a311b6a4a0/f</t>
  </si>
  <si>
    <t>Lei No 12.187, de 29 de Dezembro de 2009</t>
  </si>
  <si>
    <t>http://www.lse.ac.uk/GranthamInstitute/wp-content/uploads/laws/1092.pdf|pt</t>
  </si>
  <si>
    <t>http://www.lse.ac.uk/GranthamInstitute/wp-content/uploads/laws/1092.pdf</t>
  </si>
  <si>
    <t>Decreto No 7.390, de 9 de Dezembro de 2010</t>
  </si>
  <si>
    <t>https://climate-laws.org/rails/active_storage/blobs/eyJfcmFpbHMiOnsibWVzc2FnZSI6IkJBaHBBblFLIiwiZXhwIjpudWxsLCJwdXIiOiJibG9iX2lkIn19--1dbd41c56fa144832a1758c6d6ed3f8ea6de87c6/1092regulation.pdf|pt</t>
  </si>
  <si>
    <t>https://climate-laws.org/rails/active_storage/blobs/eyJfcmFpbHMiOnsibWVzc2FnZSI6IkJBaHBBblFLIiwiZXhwIjpudWxsLCJwdXIiOiJibG9iX2lkIn19--1dbd41c56fa144832a1758c6d6ed3f8ea6de87c6/1092regulation.pdf</t>
  </si>
  <si>
    <t>Lei No 12.114, de 9 de Dezembro de 2009</t>
  </si>
  <si>
    <t>http://www.lse.ac.uk/GranthamInstitute/wp-content/uploads/laws/1093.pdf|pt</t>
  </si>
  <si>
    <t>http://www.lse.ac.uk/GranthamInstitute/wp-content/uploads/laws/1093.pdf</t>
  </si>
  <si>
    <t>Decreto No 7.343, de 26 Outubro de 2010</t>
  </si>
  <si>
    <t>https://climate-laws.org/rails/active_storage/blobs/eyJfcmFpbHMiOnsibWVzc2FnZSI6IkJBaHBBblVLIiwiZXhwIjpudWxsLCJwdXIiOiJibG9iX2lkIn19--8e06554a36c876c0a25fffed93c93cf63dc90f6a/1093regulation.pdf|pt</t>
  </si>
  <si>
    <t>https://climate-laws.org/rails/active_storage/blobs/eyJfcmFpbHMiOnsibWVzc2FnZSI6IkJBaHBBblVLIiwiZXhwIjpudWxsLCJwdXIiOiJibG9iX2lkIn19--8e06554a36c876c0a25fffed93c93cf63dc90f6a/1093regulation.pdf</t>
  </si>
  <si>
    <t>Plano Nacional Sobre Mudança do Clima</t>
  </si>
  <si>
    <t>National Plan on Climate Change</t>
  </si>
  <si>
    <t>https://climate-laws.org/rails/active_storage/blobs/eyJfcmFpbHMiOnsibWVzc2FnZSI6IkJBaHBBcGdHIiwiZXhwIjpudWxsLCJwdXIiOiJibG9iX2lkIn19--e078a5af8bf71bf06f257426b4244b590867db32/f|pt</t>
  </si>
  <si>
    <t>https://climate-laws.org/rails/active_storage/blobs/eyJfcmFpbHMiOnsibWVzc2FnZSI6IkJBaHBBcGdHIiwiZXhwIjpudWxsLCJwdXIiOiJibG9iX2lkIn19--e078a5af8bf71bf06f257426b4244b590867db32/f</t>
  </si>
  <si>
    <t>National Plan on Climate Change: Executive Summary</t>
  </si>
  <si>
    <t>https://climate-laws.org/rails/active_storage/blobs/eyJfcmFpbHMiOnsibWVzc2FnZSI6IkJBaHBBbllLIiwiZXhwIjpudWxsLCJwdXIiOiJibG9iX2lkIn19--b2fe4e021fa77bb2feed25a66846f9c2dc233c99/1094officialENGsummary.pdf|en</t>
  </si>
  <si>
    <t>https://climate-laws.org/rails/active_storage/blobs/eyJfcmFpbHMiOnsibWVzc2FnZSI6IkJBaHBBbllLIiwiZXhwIjpudWxsLCJwdXIiOiJibG9iX2lkIn19--b2fe4e021fa77bb2feed25a66846f9c2dc233c99/1094officialENGsummary.pdf</t>
  </si>
  <si>
    <t>Plano Nacional de Energia 2030</t>
  </si>
  <si>
    <t>https://climate-laws.org/rails/active_storage/blobs/eyJfcmFpbHMiOnsibWVzc2FnZSI6IkJBaHBBcGNJIiwiZXhwIjpudWxsLCJwdXIiOiJibG9iX2lkIn19--64b4ce2c717e6c3b97e2623c6a470020d07e5b67/f|pt</t>
  </si>
  <si>
    <t>https://climate-laws.org/rails/active_storage/blobs/eyJfcmFpbHMiOnsibWVzc2FnZSI6IkJBaHBBcGNJIiwiZXhwIjpudWxsLCJwdXIiOiJibG9iX2lkIn19--64b4ce2c717e6c3b97e2623c6a470020d07e5b67/f</t>
  </si>
  <si>
    <t>Plano Nacional de Energia 2050: Anexo</t>
  </si>
  <si>
    <t>https://www.epe.gov.br/sites-pt/publicacoes-dados-abertos/publicacoes/PublicacoesArquivos/publicacao-227/topico-563/PNE%202050%20-%20Anexo.pdf|pt</t>
  </si>
  <si>
    <t>https://www.epe.gov.br/sites-pt/publicacoes-dados-abertos/publicacoes/PublicacoesArquivos/publicacao-227/topico-563/PNE%202050%20-%20Anexo.pdf</t>
  </si>
  <si>
    <t>Plano Nacional de Energia 2050</t>
  </si>
  <si>
    <t>https://www.epe.gov.br/sites-pt/publicacoes-dados-abertos/publicacoes/PublicacoesArquivos/publicacao-227/topico-563/Relatorio%20Final%20do%20PNE%202050.pdf|pt</t>
  </si>
  <si>
    <t>https://www.epe.gov.br/sites-pt/publicacoes-dados-abertos/publicacoes/PublicacoesArquivos/publicacao-227/topico-563/Relatorio%20Final%20do%20PNE%202050.pdf</t>
  </si>
  <si>
    <t>Lei No 10.295, de 17 Outubro de 2001</t>
  </si>
  <si>
    <t>http://www.lse.ac.uk/GranthamInstitute/wp-content/uploads/laws/1100.pdf|pt</t>
  </si>
  <si>
    <t>http://www.lse.ac.uk/GranthamInstitute/wp-content/uploads/laws/1100.pdf</t>
  </si>
  <si>
    <t>Decreto No 4.059, de 19 Dezembro de 2001</t>
  </si>
  <si>
    <t>https://climate-laws.org/rails/active_storage/blobs/eyJfcmFpbHMiOnsibWVzc2FnZSI6IkJBaHBBbmNLIiwiZXhwIjpudWxsLCJwdXIiOiJibG9iX2lkIn19--2858836d66a34b3a9dbbabde81d1c42775af3b4f/1100regulation.pdf|pt</t>
  </si>
  <si>
    <t>https://climate-laws.org/rails/active_storage/blobs/eyJfcmFpbHMiOnsibWVzc2FnZSI6IkJBaHBBbmNLIiwiZXhwIjpudWxsLCJwdXIiOiJibG9iX2lkIn19--2858836d66a34b3a9dbbabde81d1c42775af3b4f/1100regulation.pdf</t>
  </si>
  <si>
    <t>Decreto de 7 de Julho de 1999</t>
  </si>
  <si>
    <t>https://climate-laws.org/rails/active_storage/blobs/eyJfcmFpbHMiOnsibWVzc2FnZSI6IkJBaHBBbEFKIiwiZXhwIjpudWxsLCJwdXIiOiJibG9iX2lkIn19--9e999067a6d1999afdaea16eed6c083989864887/f|pt</t>
  </si>
  <si>
    <t>https://climate-laws.org/rails/active_storage/blobs/eyJfcmFpbHMiOnsibWVzc2FnZSI6IkJBaHBBbEFKIiwiZXhwIjpudWxsLCJwdXIiOiJibG9iX2lkIn19--9e999067a6d1999afdaea16eed6c083989864887/f</t>
  </si>
  <si>
    <t>Resolução nº 1 de 11 de setembro de 2003</t>
  </si>
  <si>
    <t>https://www.gov.br/mcti/pt-br/acompanhe-o-mcti/cgcl/clima/arquivos/autoridade-nacional-designada-para-o-mdl/resolucao-no-1-de-11-de-setembro-de-2003.pdf|pt</t>
  </si>
  <si>
    <t>https://www.gov.br/mcti/pt-br/acompanhe-o-mcti/cgcl/clima/arquivos/autoridade-nacional-designada-para-o-mdl/resolucao-no-1-de-11-de-setembro-de-2003.pdf</t>
  </si>
  <si>
    <t>Resolução CIMGC nº 9 de 20/03/2009</t>
  </si>
  <si>
    <t>https://www.normasbrasil.com.br/norma/resolucao-9-2009_111350.html|pt</t>
  </si>
  <si>
    <t>https://www.normasbrasil.com.br/norma/resolucao-9-2009_111350.html</t>
  </si>
  <si>
    <t>Lei No 12.651, de 25 de Maio de 2012</t>
  </si>
  <si>
    <t>http://www.planalto.gov.br/ccivil_03/_Ato2011-2014/2012/Lei/L12651.htm|pt</t>
  </si>
  <si>
    <t>http://www.planalto.gov.br/ccivil_03/_Ato2011-2014/2012/Lei/L12651.htm</t>
  </si>
  <si>
    <t>Portaria No 288, de 2 de Julho de 2020</t>
  </si>
  <si>
    <t>http://www.in.gov.br/en/web/dou/-/portaria-n-288-de-2-de-julho-de-2020-264916875|pt</t>
  </si>
  <si>
    <t>http://www.in.gov.br/en/web/dou/-/portaria-n-288-de-2-de-julho-de-2020-264916875</t>
  </si>
  <si>
    <t>Plano Setorial de Mitigação e de Adaptação à Mudança do Clima na Mineração</t>
  </si>
  <si>
    <t>https://climate-laws.org/rails/active_storage/blobs/eyJfcmFpbHMiOnsibWVzc2FnZSI6IkJBaHBBcTBGIiwiZXhwIjpudWxsLCJwdXIiOiJibG9iX2lkIn19--2408401c1df9166fc3de6db086808aa54041c5f5/f|pt</t>
  </si>
  <si>
    <t>https://climate-laws.org/rails/active_storage/blobs/eyJfcmFpbHMiOnsibWVzc2FnZSI6IkJBaHBBcTBGIiwiZXhwIjpudWxsLCJwdXIiOiJibG9iX2lkIn19--2408401c1df9166fc3de6db086808aa54041c5f5/f</t>
  </si>
  <si>
    <t>Portaria No 121, de 8 de Fevereiro de 2011</t>
  </si>
  <si>
    <t>https://climate-laws.org/rails/active_storage/blobs/eyJfcmFpbHMiOnsibWVzc2FnZSI6IkJBaHBBdUFPIiwiZXhwIjpudWxsLCJwdXIiOiJibG9iX2lkIn19--49d3a6a53dc372f9357a5c3777921849d6c870c7/Portaria%20n%20121-2011.pdf|pt</t>
  </si>
  <si>
    <t>https://climate-laws.org/rails/active_storage/blobs/eyJfcmFpbHMiOnsibWVzc2FnZSI6IkJBaHBBdUFPIiwiZXhwIjpudWxsLCJwdXIiOiJibG9iX2lkIn19--49d3a6a53dc372f9357a5c3777921849d6c870c7/Portaria%20n%20121-2011.pdf</t>
  </si>
  <si>
    <t>Plano Nacional de Adaptação à Mudança do Clima - Volume I: Estratégia Geral</t>
  </si>
  <si>
    <t>National Adaptation Plan to Climate Change - Volume I: General Strategy</t>
  </si>
  <si>
    <t>https://climate-laws.org/rails/active_storage/blobs/eyJfcmFpbHMiOnsibWVzc2FnZSI6IkJBaHBBZ0lGIiwiZXhwIjpudWxsLCJwdXIiOiJibG9iX2lkIn19--087b099196849691fc3b308a7386e78c2f603ec3/f|pt</t>
  </si>
  <si>
    <t>https://climate-laws.org/rails/active_storage/blobs/eyJfcmFpbHMiOnsibWVzc2FnZSI6IkJBaHBBZ0lGIiwiZXhwIjpudWxsLCJwdXIiOiJibG9iX2lkIn19--087b099196849691fc3b308a7386e78c2f603ec3/f</t>
  </si>
  <si>
    <t>https://climate-laws.org/rails/active_storage/blobs/eyJfcmFpbHMiOnsibWVzc2FnZSI6IkJBaHBBZ01GIiwiZXhwIjpudWxsLCJwdXIiOiJibG9iX2lkIn19--66cc054f6b76ee9550796ce7972012ccbb279606/f|</t>
  </si>
  <si>
    <t>https://climate-laws.org/rails/active_storage/blobs/eyJfcmFpbHMiOnsibWVzc2FnZSI6IkJBaHBBZ01GIiwiZXhwIjpudWxsLCJwdXIiOiJibG9iX2lkIn19--66cc054f6b76ee9550796ce7972012ccbb279606/f</t>
  </si>
  <si>
    <t>Portaria No 150, de 10 de Maio de 2016</t>
  </si>
  <si>
    <t>https://www.in.gov.br/web/guest/materia/-/asset_publisher/Kujrw0TZC2Mb/content/id/22804297/do1-2016-05-11-portaria-n-150-de-10-de-maio-de-2016-22804223|pt</t>
  </si>
  <si>
    <t>https://www.in.gov.br/web/guest/materia/-/asset_publisher/Kujrw0TZC2Mb/content/id/22804297/do1-2016-05-11-portaria-n-150-de-10-de-maio-de-2016-22804223</t>
  </si>
  <si>
    <t>Decreto No 9.578, de 22 de Novembro de 2018</t>
  </si>
  <si>
    <t>https://climate-laws.org/rails/active_storage/blobs/eyJfcmFpbHMiOnsibWVzc2FnZSI6IkJBaHBBZ0VGIiwiZXhwIjpudWxsLCJwdXIiOiJibG9iX2lkIn19--f0039d5fd063c26edc4d1e6159c2e8466179da6e/f|pt</t>
  </si>
  <si>
    <t>https://climate-laws.org/rails/active_storage/blobs/eyJfcmFpbHMiOnsibWVzc2FnZSI6IkJBaHBBZ0VGIiwiZXhwIjpudWxsLCJwdXIiOiJibG9iX2lkIn19--f0039d5fd063c26edc4d1e6159c2e8466179da6e/f</t>
  </si>
  <si>
    <t>Decreto No 10.143, de 28 de Novembro de 2019</t>
  </si>
  <si>
    <t>http://www.planalto.gov.br/ccivil_03/_Ato2019-2022/2019/Decreto/D10143.htm|pt</t>
  </si>
  <si>
    <t>http://www.planalto.gov.br/ccivil_03/_Ato2019-2022/2019/Decreto/D10143.htm</t>
  </si>
  <si>
    <t>Decreto No 10.145, de 28 de Novembro de 2019</t>
  </si>
  <si>
    <t>http://www.planalto.gov.br/ccivil_03/_Ato2019-2022/2019/Decreto/D10145.htm|pt</t>
  </si>
  <si>
    <t>http://www.planalto.gov.br/ccivil_03/_Ato2019-2022/2019/Decreto/D10145.htm</t>
  </si>
  <si>
    <t>Decreto No 10.845, de 25 de Outubro de 2021</t>
  </si>
  <si>
    <t>http://www.planalto.gov.br/ccivil_03/_ato2019-2022/2021/Decreto/D10845.htm#art20|pt</t>
  </si>
  <si>
    <t>http://www.planalto.gov.br/ccivil_03/_ato2019-2022/2021/Decreto/D10845.htm#art20</t>
  </si>
  <si>
    <t>Decreto No 10.387, de 5 de Junho de 2020</t>
  </si>
  <si>
    <t>https://www.in.gov.br/en/web/dou/-/decreto-n-10.387-de-5-de-junho-de-2020-260391759|pt</t>
  </si>
  <si>
    <t>https://www.in.gov.br/en/web/dou/-/decreto-n-10.387-de-5-de-junho-de-2020-260391759</t>
  </si>
  <si>
    <t>Decreto No 8.874, de 11 de Outubro de 2016</t>
  </si>
  <si>
    <t>http://www.planalto.gov.br/ccivil_03/_Ato2015-2018/2016/Decreto/D8874.htm|pt</t>
  </si>
  <si>
    <t>http://www.planalto.gov.br/ccivil_03/_Ato2015-2018/2016/Decreto/D8874.htm</t>
  </si>
  <si>
    <t>Plano Nacional para Controle do Desmatamento Ilegal e Recuperação da Vegetação Nativa 2020-2023</t>
  </si>
  <si>
    <t>https://climate-laws.org/rails/active_storage/blobs/eyJfcmFpbHMiOnsibWVzc2FnZSI6IkJBaHBBbGNOIiwiZXhwIjpudWxsLCJwdXIiOiJibG9iX2lkIn19--b129f9eac4c56229e7dbab031f96ac17b137db5e/Plano%20Controle%20Desmatamento%20Ilegal%20MMA%202020.pdf|pt</t>
  </si>
  <si>
    <t>https://climate-laws.org/rails/active_storage/blobs/eyJfcmFpbHMiOnsibWVzc2FnZSI6IkJBaHBBbGNOIiwiZXhwIjpudWxsLCJwdXIiOiJibG9iX2lkIn19--b129f9eac4c56229e7dbab031f96ac17b137db5e/Plano%20Controle%20Desmatamento%20Ilegal%20MMA%202020.pdf</t>
  </si>
  <si>
    <t>Plano de Ação para Prevenção e Controle do Desmatamento e das Queimadas no Cerrado &amp; Plano de Ação para Prevenção e Controle do Desmatamento na Amazônia Legal: Fase 2016-2020</t>
  </si>
  <si>
    <t>http://combateaodesmatamento.mma.gov.br/images/conteudo/Livro-PPCDam-e-PPCerrado_WEB_1.pdf|pt</t>
  </si>
  <si>
    <t>http://combateaodesmatamento.mma.gov.br/images/conteudo/Livro-PPCDam-e-PPCerrado_WEB_1.pdf</t>
  </si>
  <si>
    <t>Ten-Year Energy Expansion Plan 2029: Executive Summary</t>
  </si>
  <si>
    <t>https://www.epe.gov.br/sites-en/publicacoes-dados-abertos/publicacoes/PublicacoesArquivos/publicacao-212/Executive%20Summary%20PDE%202029.pdf|pt</t>
  </si>
  <si>
    <t>https://www.epe.gov.br/sites-en/publicacoes-dados-abertos/publicacoes/PublicacoesArquivos/publicacao-212/Executive%20Summary%20PDE%202029.pdf</t>
  </si>
  <si>
    <t>Plano Decenal de Expansão de Energia 2029</t>
  </si>
  <si>
    <t>Ten-Year Energy Expansion Plan 2029</t>
  </si>
  <si>
    <t>https://www.epe.gov.br/sites-pt/publicacoes-dados-abertos/publicacoes/Documents/PDE%202029.pdf|pt</t>
  </si>
  <si>
    <t>https://www.epe.gov.br/sites-pt/publicacoes-dados-abertos/publicacoes/Documents/PDE%202029.pdf</t>
  </si>
  <si>
    <t>Lei No 13.755, de 19 de Dezembro de 2018</t>
  </si>
  <si>
    <t>http://www.planalto.gov.br/ccivil_03/_ato2015-2018/2018/lei/L13755.htm|pt</t>
  </si>
  <si>
    <t>http://www.planalto.gov.br/ccivil_03/_ato2015-2018/2018/lei/L13755.htm</t>
  </si>
  <si>
    <t>Todas as informações sobre o Rota 2030</t>
  </si>
  <si>
    <t>https://www.rota2030.com.br/|pt</t>
  </si>
  <si>
    <t>https://www.rota2030.com.br/</t>
  </si>
  <si>
    <t>Decreto No 9.172, de 17 de Outubro de 2017</t>
  </si>
  <si>
    <t>http://www.planalto.gov.br/ccivil_03/_ato2015-2018/2017/decreto/D9172.htm|pt</t>
  </si>
  <si>
    <t>http://www.planalto.gov.br/ccivil_03/_ato2015-2018/2017/decreto/D9172.htm</t>
  </si>
  <si>
    <t>Instrução Normativa No 12, de 23 de Novembro de 2010</t>
  </si>
  <si>
    <t>http://www.ibama.gov.br/sophia/cnia/legislacao/IBAMA/IN0012-231110.PDF|pt</t>
  </si>
  <si>
    <t>http://www.ibama.gov.br/sophia/cnia/legislacao/IBAMA/IN0012-231110.PDF</t>
  </si>
  <si>
    <t>Lei No 12.305, de 2 de Agosto de 2010</t>
  </si>
  <si>
    <t>http://www.planalto.gov.br/ccivil_03/_ato2007-2010/2010/lei/l12305.htm|pt</t>
  </si>
  <si>
    <t>http://www.planalto.gov.br/ccivil_03/_ato2007-2010/2010/lei/l12305.htm</t>
  </si>
  <si>
    <t>Decreto No 10.936, de 12 de Janeiro de 2022</t>
  </si>
  <si>
    <t>http://www.planalto.gov.br/ccivil_03/_Ato2019-2022/2022/Decreto/D10936.htm#art91|pt</t>
  </si>
  <si>
    <t>http://www.planalto.gov.br/ccivil_03/_Ato2019-2022/2022/Decreto/D10936.htm#art91</t>
  </si>
  <si>
    <t>Programa Nacional Lixão Zero</t>
  </si>
  <si>
    <t>National Zero Waste Programme</t>
  </si>
  <si>
    <t>https://climate-laws.org/rails/active_storage/blobs/eyJfcmFpbHMiOnsibWVzc2FnZSI6IkJBaHBBdDhPIiwiZXhwIjpudWxsLCJwdXIiOiJibG9iX2lkIn19--7b603057503b4ff3a470c27e0a6759cc6579606f/Programa-Lixao-Zero.pdf|pt</t>
  </si>
  <si>
    <t>https://climate-laws.org/rails/active_storage/blobs/eyJfcmFpbHMiOnsibWVzc2FnZSI6IkJBaHBBdDhPIiwiZXhwIjpudWxsLCJwdXIiOiJibG9iX2lkIn19--7b603057503b4ff3a470c27e0a6759cc6579606f/Programa-Lixao-Zero.pdf</t>
  </si>
  <si>
    <t>English title (CCLW)</t>
  </si>
  <si>
    <t>Law on Disaster Response, Management, and Preparedness</t>
  </si>
  <si>
    <t>LULUCF;Water</t>
  </si>
  <si>
    <t>Full text (PDF)|https://climate-laws.org/rails/active_storage/blobs/eyJfcmFpbHMiOnsibWVzc2FnZSI6IkJBaHBBczhHIiwiZXhwIjpudWxsLCJwdXIiOiJibG9iX2lkIn19--4e27f8fbe94a3cff706ea55e80d68f0beb270161/f|en;Dari version (PDF)|https://climate-laws.org/rails/active_storage/blobs/eyJfcmFpbHMiOnsibWVzc2FnZSI6IkJBaHBBbFlNIiwiZXhwIjpudWxsLCJwdXIiOiJibG9iX2lkIn19--60aeeb8a653d951c1ad086e9ed8e0533daf24154/%D9%82%D8%A7%D9%86%D9%88%D9%86%20%D8%A2%D9%85%D8%A7%D8%AF%DA%AF%DB%8C%20%D9%85%D8%A8%D8%A7%D8%B1%D8%B2%D9%87%20%D8%A8%D8%A7%20%D8%AD%D9%88%D8%A7%D8%AF%D8%AB_Law%20on%20Disaster%20Response%20Management%20and%20Preparedness_Dari%20Version.pd.pdf|</t>
  </si>
  <si>
    <t>Law 99-09 relative to the Management of Energy</t>
  </si>
  <si>
    <t>Standards, obligations and norms|Regulation;Capacity building|Governance;Education, training and knowledge dissemination|Information</t>
  </si>
  <si>
    <t>28/07/1999|Law passed</t>
  </si>
  <si>
    <t>Full text|https://climate-laws.org/rails/active_storage/blobs/eyJfcmFpbHMiOnsibWVzc2FnZSI6IkJBaHBBbW9IIiwiZXhwIjpudWxsLCJwdXIiOiJibG9iX2lkIn19--8f2d8a74a035c2459107a5ad08cf6816ca16b402/c|;Full text|https://climate-laws.org/rails/active_storage/blobs/eyJfcmFpbHMiOnsibWVzc2FnZSI6IkJBaHBBbXNIIiwiZXhwIjpudWxsLCJwdXIiOiJibG9iX2lkIn19--8c62f90e227182fe85bab83757279c57ae9d8acc/f|</t>
  </si>
  <si>
    <t>24-10-2012 decree approving the conditions of purchase of electricity generated by photovoltaic installations</t>
  </si>
  <si>
    <t>24/10/2012|Law passed||;22/03/2017|last amended||</t>
  </si>
  <si>
    <t>Full text|https://climate-laws.org/rails/active_storage/blobs/eyJfcmFpbHMiOnsibWVzc2FnZSI6IkJBaHBBbEFJIiwiZXhwIjpudWxsLCJwdXIiOiJibG9iX2lkIn19--f343d56a020930968bd786f27cdd19f8cce12eaa/f|ca;Link to amending decree|https://www.bopa.ad/bopa/029020/Pagines/GD20170324_10_28_12.aspx|ca</t>
  </si>
  <si>
    <t>Decree of 15-03-2017 approving the Regulation of financial aid for electric mobility and for the improvement of energy efficiency and safety of the national car park</t>
  </si>
  <si>
    <t>Ev</t>
  </si>
  <si>
    <t>15/03/2017|Approved||</t>
  </si>
  <si>
    <t>full text|https://www.bopa.ad/bopa/029018/Pagines/GD20170317_11_37_47.aspx|ca;full text|https://www.bopa.ad/bopa/032029/Pagines/GD20200312_15_02_09.aspx|ca;Decree 19-6-2019|https://www.bopa.ad/bopa/031059/Pagines/GD20190628_09_11_13.aspx|ca;Decree 11-3-2020|https://www.bopa.ad/bopa/032029/Pagines/GD20200312_15_02_09.aspx|ca</t>
  </si>
  <si>
    <t>Law 15/2016, of 20 October, amending Law 4/2016, of 10 March, on the promotion of electric vehicles</t>
  </si>
  <si>
    <t>E Vs</t>
  </si>
  <si>
    <t>20/10/2016|Approved||</t>
  </si>
  <si>
    <t>full text 1|http://www.consellgeneral.ad/ca/arxiu/arxiu-de-lleis-i-textos-aprovats-en-legislatures-anteriors/vii-legislatura-2015-2019/copy_of_lleis-aprovades/llei-4-2016-del-10-de-marc-de-foment-del-vehicle-electric|ca;full text 2|https://www.bopa.ad/bopa/028067/Pagines/CGL20161109_11_13_11.aspx|ca</t>
  </si>
  <si>
    <t>Decree of 19-2-2020 approving the Regulations of the aid program for the improvement of the national real estate park, the improvement of the energy efficiency of buildings and the use of renewable energies</t>
  </si>
  <si>
    <t>Renewables;Energy Efficiency</t>
  </si>
  <si>
    <t>Buildings;Energy</t>
  </si>
  <si>
    <t>19/02/2020|Approved||</t>
  </si>
  <si>
    <t>full text 1|https://www.bopa.ad/bopa/032016/Pagines/GD20200220_16_01_19.aspx|ca;full text 2|https://www.bopa.ad/bopa/033016/Pagines/GSUB20210129_09_43_58.aspx|ca</t>
  </si>
  <si>
    <t>Decree of 22-3-2017 amending the Decree on the conditions of purchase of electricity generated in photovoltaic installations, of 24 October 2012</t>
  </si>
  <si>
    <t>Environment;Transportation</t>
  </si>
  <si>
    <t>24/09/2015|Law passed||;06/06/2019|Approved||</t>
  </si>
  <si>
    <t>Full text of 2015 repealed version|https://climate-laws.org/rails/active_storage/blobs/eyJfcmFpbHMiOnsibWVzc2FnZSI6IkJBaHBBbUlHIiwiZXhwIjpudWxsLCJwdXIiOiJibG9iX2lkIn19--72a9d7d5f232992f9d91c449c268244352fcbb22/f|en;Link to full text (PDF)|http://laws.gov.ag/wp-content/uploads/2019/08/No.-10-of-2019-Environmental-Protection-and-Management-Bill-2019.pdf|en</t>
  </si>
  <si>
    <t>Adaptation;Energy Supply</t>
  </si>
  <si>
    <t>Agriculture;Industry;Tourism;Transportation</t>
  </si>
  <si>
    <t>Full text - Physical Planning Act 2003|https://climate-laws.org/rails/active_storage/blobs/eyJfcmFpbHMiOnsibWVzc2FnZSI6IkJBaHBBcWNHIiwiZXhwIjpudWxsLCJwdXIiOiJibG9iX2lkIn19--a296b6f70667b9355997d562ee15b280abe44b78/f|;Full text - Zoning Plan|https://climate-laws.org/rails/active_storage/blobs/eyJfcmFpbHMiOnsibWVzc2FnZSI6IkJBaHBBcWdHIiwiZXhwIjpudWxsLCJwdXIiOiJibG9iX2lkIn19--d156e142db3159854cc7d95417d577d0c2dd2e9a/f|;Full text - Physical Development Plan|https://climate-laws.org/rails/active_storage/blobs/eyJfcmFpbHMiOnsibWVzc2FnZSI6IkJBaHBBcWtHIiwiZXhwIjpudWxsLCJwdXIiOiJibG9iX2lkIn19--29e15c091b652fc37c713c641d195b5fa9884456/f|</t>
  </si>
  <si>
    <t>Decree of 11-3-2020 amending the Regulation on financial aid for electric mobility and for improving the energy efficiency and safety of the national car park, of 15 March 2017</t>
  </si>
  <si>
    <t>Emergency Powers (Hurricane, Earthquake, Fire or Flood) Act No. 5/57 and Disaster Management Act No. 13/02</t>
  </si>
  <si>
    <t>Institutions / Administrative Arrangements;Disaster Risk Management</t>
  </si>
  <si>
    <t>21/05/1957|Law passed||</t>
  </si>
  <si>
    <t>Emergency Powers Act |https://climate-laws.org/rails/active_storage/blobs/eyJfcmFpbHMiOnsibWVzc2FnZSI6IkJBaHBBZ1lGIiwiZXhwIjpudWxsLCJwdXIiOiJibG9iX2lkIn19--6b14d714abf250a5e5b0871c0542bf1b7d52cdce/f|;Disaster Management Act|https://climate-laws.org/rails/active_storage/blobs/eyJfcmFpbHMiOnsibWVzc2FnZSI6IkJBaHBBZ2NGIiwiZXhwIjpudWxsLCJwdXIiOiJibG9iX2lkIn19--c761d667f889063f0464fa8a1a0fd98495b53dee/f|</t>
  </si>
  <si>
    <t>Decree of 19-6-2019 amending the Regulation on financial aid for electric mobility and for improving the energy efficiency and safety of the national car park, of 15 March 2017</t>
  </si>
  <si>
    <t>Law 26.190 Regime for the National Promotion for the Production and Use of Renewable Sources of Electric Energy</t>
  </si>
  <si>
    <t>02/01/2007|Law passed||;15/10/2015|Amended by law 27191||;03/08/2021|Amended by resolution 742/2021||</t>
  </si>
  <si>
    <t>Full text|https://climate-laws.org/rails/active_storage/blobs/eyJfcmFpbHMiOnsibWVzc2FnZSI6IkJBaHBBaUFJIiwiZXhwIjpudWxsLCJwdXIiOiJibG9iX2lkIn19--54965c8a86b93863b75bd0c9dafd230d26974a5d/f|es;Full text - official document|https://climate-laws.org/rails/active_storage/blobs/eyJfcmFpbHMiOnsibWVzc2FnZSI6IkJBaHBBdGNLIiwiZXhwIjpudWxsLCJwdXIiOiJibG9iX2lkIn19--34d2e8e4f4d64d5a415ef712cad18ab7e79a0665/2007%20(2).pdf|es;Link to resolution 531/2016|https://www.argentina.gob.ar/normativa/nacional/decreto-531-2016-259883|es</t>
  </si>
  <si>
    <t>Law 27191 on Renewable Energy</t>
  </si>
  <si>
    <t>15/10/2015|Law passed</t>
  </si>
  <si>
    <t>Full text |https://climate-laws.org/rails/active_storage/blobs/eyJfcmFpbHMiOnsibWVzc2FnZSI6IkJBaHBBaDhJIiwiZXhwIjpudWxsLCJwdXIiOiJibG9iX2lkIn19--60f7eef4bcbe53d7ecb81be2309e2adf5c01e2f3/f|es;Full text - original version|https://climate-laws.org/rails/active_storage/blobs/eyJfcmFpbHMiOnsibWVzc2FnZSI6IkJBaHBBdGdLIiwiZXhwIjpudWxsLCJwdXIiOiJibG9iX2lkIn19--0714e2aae7f870680c357364a997ba54a63b5ef7/2008%20(2).pdf|es</t>
  </si>
  <si>
    <t>Law 4/2016, of 10 March, on the promotion of electric vehicles</t>
  </si>
  <si>
    <t>Decrees 476/2019 and 548/2019 on renewable energies</t>
  </si>
  <si>
    <t>10/07/2019|Law passed</t>
  </si>
  <si>
    <t>Decree 476/2019|https://www.boletinoficial.gob.ar/detalleAviso/primera/211142/20190711|;Decree 548/2019|https://www.boletinoficial.gob.ar/detalleAviso/primera/213104/20190808|</t>
  </si>
  <si>
    <t>Perspective Development Strategic Programme for 2014-2025</t>
  </si>
  <si>
    <t>Energy;LULUCF;Transportation</t>
  </si>
  <si>
    <t>25/12/2014|Law passed</t>
  </si>
  <si>
    <t>Full text|https://climate-laws.org/rails/active_storage/blobs/eyJfcmFpbHMiOnsibWVzc2FnZSI6IkJBaHBBblFHIiwiZXhwIjpudWxsLCJwdXIiOiJibG9iX2lkIn19--2948f48509633f5c3cf72424bddee0d31629686b/f|;Full text (armenian)|https://climate-laws.org/rails/active_storage/blobs/eyJfcmFpbHMiOnsibWVzc2FnZSI6IkJBaHBBblVHIiwiZXhwIjpudWxsLCJwdXIiOiJibG9iX2lkIn19--e79574bc216e716dd387789879b72db2b155c6d3/f|</t>
  </si>
  <si>
    <t>Strategy to ensure economic development in agricultural sector for 2020-2030</t>
  </si>
  <si>
    <t>Agriculture</t>
  </si>
  <si>
    <t>19/12/2019|Approved||</t>
  </si>
  <si>
    <t>Summary (pdf)|https://mineconomy.am/media/10033/Razmavarutyun_Hamarotagir_Angleren.pdf|en;Action plan (pdf)|https://mineconomy.am/media/10032/MijocarumneriTsragir_Angleren.pdf|en</t>
  </si>
  <si>
    <t>Edict of 27-1-2021 opening the call for aid of the Renova program for the improvement of the national real estate park, the improvement of energy efficiency of buildings and the use of renewable energies for 2021</t>
  </si>
  <si>
    <t>Decree 719-A-2021 establishing the inter-agency coordinating council on implementation of requirements of the UNFCCC and the Paris Agreement</t>
  </si>
  <si>
    <t>06/07/2021|approved||</t>
  </si>
  <si>
    <t>Full text on external website of repealed decree 955/2012 (PDF)|http://extwprlegs1.fao.org/docs/pdf/arm137939E.pdf|en;Decree 719-A/2021|https://climate-laws.org/rails/active_storage/blobs/eyJfcmFpbHMiOnsibWVzc2FnZSI6IkJBaHBBdndPIiwiZXhwIjpudWxsLCJwdXIiOiJibG9iX2lkIn19--ad71c00fbef290008dde44f9ab83c5603ed08dfe/CC%20Council_PM%20Decree%20%23719-A_06JUL2021_eng.docx|en</t>
  </si>
  <si>
    <t>Institutions / Administrative Arrangements;Carbon Pricing</t>
  </si>
  <si>
    <t>Other</t>
  </si>
  <si>
    <t>15/09/2011|Law passed||</t>
  </si>
  <si>
    <t>Full text (PDF)|https://www.legislation.gov.au/Details/C2016C00155|en;Emissions Reduction Fund|https://www.industry.gov.au/funding-and-incentives/emissions-reduction-fund|en</t>
  </si>
  <si>
    <t>The Reef 2050 Plan</t>
  </si>
  <si>
    <t>Health;Residential and Commercial;Water</t>
  </si>
  <si>
    <t>Full text (2015) (PDF)|https://www.environment.gov.au/system/files/resources/d98b3e53-146b-4b9c-a84a-2a22454b9a83/files/reef-2050-long-term-sustainability-plan.pdf|;Full text (2018) (PDF)|https://climate-laws.org/rails/active_storage/blobs/eyJfcmFpbHMiOnsibWVzc2FnZSI6IkJBaHBBcTRGIiwiZXhwIjpudWxsLCJwdXIiOiJibG9iX2lkIn19--59d4f83953dc755ab21df179007c460088e57a4a/f|</t>
  </si>
  <si>
    <t>Australia's national hydrogen strategy</t>
  </si>
  <si>
    <t>Link to official website|https://www.industry.gov.au/data-and-publications/australias-national-hydrogen-strategy|en;Full text (PDF)|https://www.industry.gov.au/sites/default/files/2019-11/australias-national-hydrogen-strategy.pdf|en</t>
  </si>
  <si>
    <t>Australia's long term emissions reduction plan : A whole-of-economy Plan to achieve net zero emissions by 2050</t>
  </si>
  <si>
    <t>Standards, obligations and norms|Regulation;Subsidies|Economic;Nature based solutions and ecosystem restoration|Direct Investment;Other|Direct Investment;Processes, plans and strategies|Governance;International cooperation|Governance;Education, training and knowledge dissemination|Information;Research &amp; Development, knowledge generation|Information</t>
  </si>
  <si>
    <t>Net Zero;Hydrogen;Technology</t>
  </si>
  <si>
    <t>26/10/2021|Policy published||</t>
  </si>
  <si>
    <t>Full text document|https://www.industry.gov.au/sites/default/files/October%202021/document/australias-long-term-emissions-reduction-plan.pdf|en;Summary document|https://www.industry.gov.au/sites/default/files/October%202021/document/the-plan-to-deliver-net-zero-the-australian-way.pdf|en</t>
  </si>
  <si>
    <t>Provision of climate funds|Direct Investment;Processes, plans and strategies|Governance;Subnational and citizen participation|Governance;International cooperation|Governance;Research &amp; Development, knowledge generation|Information</t>
  </si>
  <si>
    <t>Hydrogen;Infrastructure;Ccs;Ev;Digital Transition;Technology</t>
  </si>
  <si>
    <t>Energy;Industry;LULUCF;Transport</t>
  </si>
  <si>
    <t>25/12/2020|Approved||;02/11/2021|Updated||</t>
  </si>
  <si>
    <t>Link to dedicated website|https://www.industry.gov.au/data-and-publications/technology-investment-roadmap|en;Link to low emission technology statement 2021|https://www.industry.gov.au/sites/default/files/November%202021/document/low-emissions-technology-statement-2021.pdf|en;Link to low emission technology statement 2020|https://www.industry.gov.au/sites/default/files/September%202020/document/first-low-emissions-technology-statement-2020.pdf|</t>
  </si>
  <si>
    <t>Climate Protection Act (Klimaschutzgeset)</t>
  </si>
  <si>
    <t>Institutional mandates|Governance;Subnational and citizen participation|Governance;MRV|Governance</t>
  </si>
  <si>
    <t>Agriculture;Energy;Industry;Residential and Commercial;Transportation;Waste</t>
  </si>
  <si>
    <t>21/11/2011|Law passed||;25/12/2013|Amended||;25/12/2015|Amended||;25/04/2017|amended||</t>
  </si>
  <si>
    <t>Link to official website|https://www.ris.bka.gv.at/GeltendeFassung.wxe?Abfrage=Bundesnormen&amp;Gesetzesnummer=20007500|de;2017 amendment|https://rdb.manz.at/document/ris.c.BGBl__I_Nr__58_2017|de</t>
  </si>
  <si>
    <t>Subsidies|Economic;Tax incentives|Economic;Capacity building|Governance;Processes, plans and strategies|Governance;Subnational and citizen participation|Governance;MRV|Governance;Research &amp; Development, knowledge generation|Information</t>
  </si>
  <si>
    <t>Soil Erosion</t>
  </si>
  <si>
    <t>Energy Supply;Buildings;Biofuels;Subsidies;Biogas;Agriculture;Tax Incentives;National Energy And Climate Plans</t>
  </si>
  <si>
    <t>18/12/2019|Released||</t>
  </si>
  <si>
    <t>Full text (PDF)|https://ec.europa.eu/energy/sites/ener/files/documents/at_final_necp_main_en.pdf|en;Full original version (PDF)|https://ec.europa.eu/energy/sites/ener/files/documents/at_final_necp_main_de.pdf|de</t>
  </si>
  <si>
    <t>Tax Reform Acts 2020 and 2022 (Steuerreformgesetz 2020 – StRefG 2020 - 984/A and Steuerreformgesetz 2022 Teil I – ÖkoStRefG 2022 Teil I)</t>
  </si>
  <si>
    <t>Carbon Pricing;Renewables;Finance;Electricity;Aviation;Fossil Fuels;Tax</t>
  </si>
  <si>
    <t>19/09/2019|Approved||;01/01/2020|Entry into force||;12/11/2021|Amended||</t>
  </si>
  <si>
    <t>Link to official webpage for StRefG 2020|https://www.parlament.gv.at/PAKT/VHG/XXVI/A/A_00984/index.shtml|de;Full text of StRefG 2020 (PDF)|https://climate-laws.org/rails/active_storage/blobs/eyJfcmFpbHMiOnsibWVzc2FnZSI6IkJBaHBBbFVNIiwiZXhwIjpudWxsLCJwdXIiOiJibG9iX2lkIn19--91eb7d8d3d167d713358e084a5d1e007838551d8/fname_761193.pdf|de;Link to official webpage with full text and related documents for ÖkoStRefG 2022|https://www.parlament.gv.at/PAKT/VHG/XXVII/I/I_01293/index.shtml|de</t>
  </si>
  <si>
    <t>Austria's National Plan for Resilience and Recovery - EU-Aufbauplan</t>
  </si>
  <si>
    <t>circular economy;Rail;Energy Efficiency;Public Transport;Buses</t>
  </si>
  <si>
    <t>Buildings;Economy-wide;Residential and Commercial</t>
  </si>
  <si>
    <t>30/04/2021|Approved||</t>
  </si>
  <si>
    <t>Official website|https://www.bundeskanzleramt.gv.at/eu-aufbauplan/der-eu-aufbauplan.html|de;COUNCIL IMPLEMENTING DECISION on the approval of the assessment of the recovery and resilience plan for Austria|https://data.consilium.europa.eu/doc/document/ST-10159-2021-COR-1/en/pdf|en;Full text (PDF)|https://climate-laws.org/rails/active_storage/blobs/eyJfcmFpbHMiOnsibWVzc2FnZSI6IkJBaHBBdkVPIiwiZXhwIjpudWxsLCJwdXIiOiJibG9iX2lkIn19--12d0422f5cfbbadf1e9405e37aee912128eaea81/Oesterreichischer-Aufbau-und-Resilienzplan-2020-2026.pdf|de;Annex to Council Decision|https://data.consilium.europa.eu/doc/document/ST-10159-2021-ADD-1/en/pdf|en</t>
  </si>
  <si>
    <t>Resolution 51/2007 establishing the Joint Committee on Climate Change and amending resolution 57/2015</t>
  </si>
  <si>
    <t>15/05/2007|Approved||;17/09/2015|Amended||</t>
  </si>
  <si>
    <t>Full text on external website (PDF)|http://extwprlegs1.fao.org/docs/pdf/bah89463.pdf|ar;Full text of amending resolution on external website (PDF)|http://faolex.fao.org/docs/pdf/bah152956.pdf|ar</t>
  </si>
  <si>
    <t>The Bangladesh Energy Regulatory Commission (BERC) Act 2003</t>
  </si>
  <si>
    <t>24/07/2003|Law passed;25/12/2010|Last amended</t>
  </si>
  <si>
    <t>full text (pdf)|http://www.lse.ac.uk/GranthamInstitute/wp-content/uploads/laws/1059.pdf|en;2010 amendment (pdf)|https://climate-laws.org/rails/active_storage/blobs/eyJfcmFpbHMiOnsibWVzc2FnZSI6IkJBaHBBbkVLIiwiZXhwIjpudWxsLCJwdXIiOiJibG9iX2lkIn19--a2d37f2fefcb06a5dbf3f4f81c6ab7e19def00e5/1059Amendment2010.pdf|bn</t>
  </si>
  <si>
    <t>Electric Light and Power Act, 2013 and Electric Light and Power (Amendment) Act, 2015</t>
  </si>
  <si>
    <t>09/01/2014|Law passed;25/12/2015|Last amendment</t>
  </si>
  <si>
    <t>Full text|https://climate-laws.org/rails/active_storage/blobs/eyJfcmFpbHMiOnsibWVzc2FnZSI6IkJBaHBBbG9HIiwiZXhwIjpudWxsLCJwdXIiOiJibG9iX2lkIn19--468a894a3d01154ad1c4b35e343dfafa20ac9069/f|;Full text - part 2|https://climate-laws.org/rails/active_storage/blobs/eyJfcmFpbHMiOnsibWVzc2FnZSI6IkJBaHBBbHNHIiwiZXhwIjpudWxsLCJwdXIiOiJibG9iX2lkIn19--bbcd2d16a6991a5e90c53e6aa2f33c3f7e54504b/f|</t>
  </si>
  <si>
    <t>National Programme on climate change mitigation measures for 2013-2020 (Resolution of the Council of Ministers of the Republic of Belarus No. 510)</t>
  </si>
  <si>
    <t>Provision of climate funds|Direct Investment;Capacity building|Governance;Processes, plans and strategies|Governance</t>
  </si>
  <si>
    <t>Economy-wide;Energy;LULUCF;Transportation</t>
  </si>
  <si>
    <t>21/06/2013|Law passed||</t>
  </si>
  <si>
    <t>Full text|https://climate-laws.org/rails/active_storage/blobs/eyJfcmFpbHMiOnsibWVzc2FnZSI6IkJBaHBBaGNLIiwiZXhwIjpudWxsLCJwdXIiOiJibG9iX2lkIn19--58132381b32ddcd90f41cb0c7db6aab1dfa27caa/F|;Full text - programme|https://climate-laws.org/rails/active_storage/blobs/eyJfcmFpbHMiOnsibWVzc2FnZSI6IkJBaHBBaGdLIiwiZXhwIjpudWxsLCJwdXIiOiJibG9iX2lkIn19--fb4578ece26d712bd4ec2485de353212699ec4e2/F|</t>
  </si>
  <si>
    <t>Act on Biofuel Blending Obligation</t>
  </si>
  <si>
    <t>Standards, obligations and norms|Regulation;Tax incentives|Economic</t>
  </si>
  <si>
    <t>17/07/2013|Law passed</t>
  </si>
  <si>
    <t>full text in Dutch and French (pdf)|http://www.lse.ac.uk/GranthamInstitute/wp-content/uploads/laws/1073.pdf|fr;2015 amendment|https://climate-laws.org/rails/active_storage/blobs/eyJfcmFpbHMiOnsibWVzc2FnZSI6IkJBaHBBbklLIiwiZXhwIjpudWxsLCJwdXIiOiJibG9iX2lkIn19--8f2e47fa5ec5804c07b77682c4b7fa7d15f3ed2c/1073modification2015.pdf|fr</t>
  </si>
  <si>
    <t>Act on Organization of the Electricity Market, amended by law of 12-may-19</t>
  </si>
  <si>
    <t>29/04/1999|Law passed;12/05/2019|Last amended</t>
  </si>
  <si>
    <t>2017 amendment (pdf)|http://www.lse.ac.uk/GranthamInstitute/wp-content/uploads/laws/1079%20-%20modification%20in%202017.pdf|fr;full text (pdf)|http://www.lse.ac.uk/GranthamInstitute/wp-content/uploads/laws/1079.pdf|fr;2019 amendment|http://www.ejustice.just.fgov.be/cgi/article_body.pl?language=fr&amp;pub_date=2019-05-24&amp;caller=summary&amp;numac=2019030491|fr</t>
  </si>
  <si>
    <t>Act on Coordination of Federal Policy on Sustainable Development</t>
  </si>
  <si>
    <t>Institutional mandates|Governance;Processes, plans and strategies|Governance;Subnational and citizen participation|Governance</t>
  </si>
  <si>
    <t>05/05/1997|Law passed||;25/12/2000|climate-relevant document adopted||;04/12/2014|Last amended||</t>
  </si>
  <si>
    <t>Link to 1997 document|http://www.ejustice.just.fgov.be/cgi_loi/change_lg.pl?language=fr&amp;la=F&amp;table_name=loi&amp;cn=1997050535%20%20|fr;Link to federal plans|https://www.developpementdurable.be/fr/politique-federale/strategie-federale/instruments/le-plan-federal-de-developpement-durable|fr</t>
  </si>
  <si>
    <t>National Energy and Climate Plan for Belgium</t>
  </si>
  <si>
    <t>Subsidies|Economic;Tax incentives|Economic;Capacity building|Governance;Processes, plans and strategies|Governance;International cooperation|Governance;Education, training and knowledge dissemination|Information;Research &amp; Development, knowledge generation|Information</t>
  </si>
  <si>
    <t>Drought;Soil Erosion</t>
  </si>
  <si>
    <t>Energy Supply;Buildings;Biofuels;Biogas;Agriculture;Electricity</t>
  </si>
  <si>
    <t>Agriculture;Economy-wide;Energy;Transportation</t>
  </si>
  <si>
    <t>18/12/2019|approved||</t>
  </si>
  <si>
    <t>Part A (PDF)|https://ec.europa.eu/energy/sites/ener/files/documents/be_final_necp_parta_fr.pdf|fr;Part B (PDF)|https://ec.europa.eu/energy/sites/ener/files/documents/be_final_necp_partb_fr.pdf|fr;Part A (PDF)|https://ec.europa.eu/energy/sites/ener/files/documents/be_final_necp_parta_nl.pdf|nl;Part B (PDF)|https://ec.europa.eu/energy/sites/ener/files/documents/be_final_necp_partb_nl.pdf|nl</t>
  </si>
  <si>
    <t>Hydrogen;covid19;Cycling;rail;Public Transport</t>
  </si>
  <si>
    <t>Buildings;Economy-wide;Energy;Residential and Commercial;Transport</t>
  </si>
  <si>
    <t>EC page|https://ec.europa.eu/info/business-economy-euro/recovery-coronavirus/recovery-and-resilience-facility/belgiums-recovery-and-resilience-plan_en#belgiums-recovery-and-resilience-plan|en;Council implementing decision and annex|https://www.consilium.europa.eu/en/documents-publications/public-register/public-register-search/results/?WordsInSubject=&amp;WordsInText=&amp;DocumentNumber=10161%2F21&amp;InterinstitutionalFiles=&amp;DocumentDateFrom=&amp;DocumentDateTo=&amp;MeetingDateFrom=&amp;MeetingDateTo=&amp;DocumentLanguage=EN&amp;OrderBy=DOCUMENT_DATE+DESC&amp;ctl00%24ctl00%24cpMain%24cpMain%24btnSubmit=|en;Full text NL|https://dermine.belgium.be/sites/default/files/articles/NL%20-%20Nationaal%20plan%20voor%20herstel%20een%20veerkracht_1.pdf|nl;Full text FR|https://climate-laws.org/rails/active_storage/blobs/eyJfcmFpbHMiOnsibWVzc2FnZSI6IkJBaHBBdmtPIiwiZXhwIjpudWxsLCJwdXIiOiJibG9iX2lkIn19--a01749a6586a1900fb7eb860228b2e3ac0cb5d4d/FR%20-%20Plan%20national%20pour%20la%20reprise%20et%20la%20r%C3%A9silience.pdf|fr</t>
  </si>
  <si>
    <t>Supreme Decrees No. 2.472 and No. 2.854 creating the 'Harvesting Life - Sowing Light' Program</t>
  </si>
  <si>
    <t>Adaptation;Energy Supply;Water Management</t>
  </si>
  <si>
    <t>Energy;Health;Water</t>
  </si>
  <si>
    <t>02/08/2015|Law passed;02/08/2016|Last amendment</t>
  </si>
  <si>
    <t>Supreme Decree No. 2.472 of 2015|https://climate-laws.org/rails/active_storage/blobs/eyJfcmFpbHMiOnsibWVzc2FnZSI6IkJBaHBBa0FGIiwiZXhwIjpudWxsLCJwdXIiOiJibG9iX2lkIn19--4951785ce4764906f393a8fbcfc97ad16b900ec7/f|;Supreme Decree No. 2.854 (amendment)|https://climate-laws.org/rails/active_storage/blobs/eyJfcmFpbHMiOnsibWVzc2FnZSI6IkJBaHBBa0VGIiwiZXhwIjpudWxsLCJwdXIiOiJibG9iX2lkIn19--76921fb408d72bf3384c0e8f03f713a311b6a4a0/f|</t>
  </si>
  <si>
    <t>Law 12.187/2009, establishing the National Policy on Climate Change (NPCC), regulated by Decree 7.390/2010</t>
  </si>
  <si>
    <t>29/12/2009|Law passed||;09/12/2010|regulation issued||</t>
  </si>
  <si>
    <t>full document|http://www.lse.ac.uk/GranthamInstitute/wp-content/uploads/laws/1092.pdf|pt;regulations (pdf)|https://climate-laws.org/rails/active_storage/blobs/eyJfcmFpbHMiOnsibWVzc2FnZSI6IkJBaHBBblFLIiwiZXhwIjpudWxsLCJwdXIiOiJibG9iX2lkIn19--1dbd41c56fa144832a1758c6d6ed3f8ea6de87c6/1092regulation.pdf|pt</t>
  </si>
  <si>
    <t>Law 12.144/2009, and Decree 7.343/2010 establishing the National Fund on Climate Change (NFCC)</t>
  </si>
  <si>
    <t>Adaptation;Institutions / Administrative Arrangements;Energy Supply</t>
  </si>
  <si>
    <t>09/12/2009|Law passed;26/10/2010|regulation issued</t>
  </si>
  <si>
    <t>full text|http://www.lse.ac.uk/GranthamInstitute/wp-content/uploads/laws/1093.pdf|pt;regulations|https://climate-laws.org/rails/active_storage/blobs/eyJfcmFpbHMiOnsibWVzc2FnZSI6IkJBaHBBblVLIiwiZXhwIjpudWxsLCJwdXIiOiJibG9iX2lkIn19--8e06554a36c876c0a25fffed93c93cf63dc90f6a/1093regulation.pdf|pt</t>
  </si>
  <si>
    <t>National Plan on Climate Change (from Decree no 6.263)</t>
  </si>
  <si>
    <t>Zoning &amp; Spatial Planning|Regulation;Nature based solutions and ecosystem restoration|Direct Investment;Processes, plans and strategies|Governance</t>
  </si>
  <si>
    <t>Plan;Decree/Order/Ordinance</t>
  </si>
  <si>
    <t>Energy;Industry;LULUCF;Residential and Commercial;Transportation;Waste;Water</t>
  </si>
  <si>
    <t>01/12/2008|Law passed||</t>
  </si>
  <si>
    <t>Full text|https://climate-laws.org/rails/active_storage/blobs/eyJfcmFpbHMiOnsibWVzc2FnZSI6IkJBaHBBcGdHIiwiZXhwIjpudWxsLCJwdXIiOiJibG9iX2lkIn19--e078a5af8bf71bf06f257426b4244b590867db32/f|pt;Official English summary|https://climate-laws.org/rails/active_storage/blobs/eyJfcmFpbHMiOnsibWVzc2FnZSI6IkJBaHBBbllLIiwiZXhwIjpudWxsLCJwdXIiOiJibG9iX2lkIn19--b2fe4e021fa77bb2feed25a66846f9c2dc233c99/1094officialENGsummary.pdf|en</t>
  </si>
  <si>
    <t>National Energy Plans 2030 and 2050 (PNE)</t>
  </si>
  <si>
    <t>Institutions / Administrative Arrangements;Research And Development;Energy Supply;Energy Demand;Transportation;Hydrogen;Covid19;Ev</t>
  </si>
  <si>
    <t>25/12/2007|Law passed||;16/12/2020|Amended||</t>
  </si>
  <si>
    <t>Full text of PNE 2030|https://climate-laws.org/rails/active_storage/blobs/eyJfcmFpbHMiOnsibWVzc2FnZSI6IkJBaHBBcGNJIiwiZXhwIjpudWxsLCJwdXIiOiJibG9iX2lkIn19--64b4ce2c717e6c3b97e2623c6a470020d07e5b67/f|pt;Annex to PNE 2050|https://www.epe.gov.br/sites-pt/publicacoes-dados-abertos/publicacoes/PublicacoesArquivos/publicacao-227/topico-563/PNE%202050%20-%20Anexo.pdf|pt;Link to PNE 2050 (pdf)|https://www.epe.gov.br/sites-pt/publicacoes-dados-abertos/publicacoes/PublicacoesArquivos/publicacao-227/topico-563/Relatorio%20Final%20do%20PNE%202050.pdf|pt</t>
  </si>
  <si>
    <t>Law 10.295/2001, establishing the National Conservation and Rational Energy Use Policy and Decree 4.059/2001</t>
  </si>
  <si>
    <t>17/10/2001|Law passed</t>
  </si>
  <si>
    <t>full text (pdf)|http://www.lse.ac.uk/GranthamInstitute/wp-content/uploads/laws/1100.pdf|pt;regulations (pdf)|https://climate-laws.org/rails/active_storage/blobs/eyJfcmFpbHMiOnsibWVzc2FnZSI6IkJBaHBBbmNLIiwiZXhwIjpudWxsLCJwdXIiOiJibG9iX2lkIn19--2858836d66a34b3a9dbbabde81d1c42775af3b4f/1100regulation.pdf|pt</t>
  </si>
  <si>
    <t>Decree establishing the Inter-ministerial Commission on Climate Change (CIMGC) and related resolutions</t>
  </si>
  <si>
    <t>Subsidies|Economic;Capacity building|Governance;Processes, plans and strategies|Governance;MRV|Governance;International cooperation|Governance;Research &amp; Development, knowledge generation|Information</t>
  </si>
  <si>
    <t>07/07/1999|Decree passed||;11/09/2003|resolution passed||;06/04/2009|resolution passed||</t>
  </si>
  <si>
    <t>Full text|https://climate-laws.org/rails/active_storage/blobs/eyJfcmFpbHMiOnsibWVzc2FnZSI6IkJBaHBBbEFKIiwiZXhwIjpudWxsLCJwdXIiOiJibG9iX2lkIn19--9e999067a6d1999afdaea16eed6c083989864887/f|pt;resolution 1/2003|https://www.gov.br/mcti/pt-br/acompanhe-o-mcti/cgcl/clima/arquivos/autoridade-nacional-designada-para-o-mdl/resolucao-no-1-de-11-de-setembro-de-2003.pdf|pt;Resolution 9/2009|https://www.normasbrasil.com.br/norma/resolucao-9-2009_111350.html|pt</t>
  </si>
  <si>
    <t>Law No. 12.651 on the protection of Native Forests</t>
  </si>
  <si>
    <t>Provision of climate funds|Direct Investment;Capacity building|Governance;Institutional mandates|Governance;Processes, plans and strategies|Governance</t>
  </si>
  <si>
    <t>Adaptation;Lulucf</t>
  </si>
  <si>
    <t>Environment;Health;LULUCF;Water</t>
  </si>
  <si>
    <t>25/05/2012|Law passed||;03/07/2020|Law amended||</t>
  </si>
  <si>
    <t>Law No. 12.651|http://www.planalto.gov.br/ccivil_03/_Ato2011-2014/2012/Lei/L12651.htm|pt;Link to decision 288/2020|http://www.in.gov.br/en/web/dou/-/portaria-n-288-de-2-de-julho-de-2020-264916875|pt</t>
  </si>
  <si>
    <t>Mining Sector Plan for mitigation and adaptation to climate change - Plan for low carbon mining</t>
  </si>
  <si>
    <t>01/06/2013|Law passed||</t>
  </si>
  <si>
    <t>Mining sector Plan|https://climate-laws.org/rails/active_storage/blobs/eyJfcmFpbHMiOnsibWVzc2FnZSI6IkJBaHBBcTBGIiwiZXhwIjpudWxsLCJwdXIiOiJibG9iX2lkIn19--2408401c1df9166fc3de6db086808aa54041c5f5/f|pt;2011 resolution|https://climate-laws.org/rails/active_storage/blobs/eyJfcmFpbHMiOnsibWVzc2FnZSI6IkJBaHBBdUFPIiwiZXhwIjpudWxsLCJwdXIiOiJibG9iX2lkIn19--49d3a6a53dc372f9357a5c3777921849d6c870c7/Portaria%20n%20121-2011.pdf|pt</t>
  </si>
  <si>
    <t>National Adaptation Plan to Climate Change Vol I and II</t>
  </si>
  <si>
    <t>Coastal zones;Health;Water</t>
  </si>
  <si>
    <t>10/05/2016|Ordinance passed||;25/12/2016|Document passed||</t>
  </si>
  <si>
    <t>Full text in Portuguese (PDF)|https://climate-laws.org/rails/active_storage/blobs/eyJfcmFpbHMiOnsibWVzc2FnZSI6IkJBaHBBZ0lGIiwiZXhwIjpudWxsLCJwdXIiOiJibG9iX2lkIn19--087b099196849691fc3b308a7386e78c2f603ec3/f|pt;Full translated text (PDF)|https://climate-laws.org/rails/active_storage/blobs/eyJfcmFpbHMiOnsibWVzc2FnZSI6IkJBaHBBZ01GIiwiZXhwIjpudWxsLCJwdXIiOiJibG9iX2lkIn19--66cc054f6b76ee9550796ce7972012ccbb279606/f|;Plan Vol. II - English|http://www.mma.gov.br/images/arquivo/80182/BOOK_PNA_Volume%20II%20v4.pdf|;Plan Vol. II - Portuguese|http://www.mma.gov.br/images/arquivo/80182/LIVRO_PNA_Plano%20Nacional_V2_copy_copy.pdf|pt;Link to ordinance|https://www.in.gov.br/web/guest/materia/-/asset_publisher/Kujrw0TZC2Mb/content/id/22804297/do1-2016-05-11-portaria-n-150-de-10-de-maio-de-2016-22804223|pt</t>
  </si>
  <si>
    <t>Decree No. 9.578 consolidating executive regulations on Climate Change</t>
  </si>
  <si>
    <t>Adaptation;Institutions / Administrative Arrangements;Mitigation</t>
  </si>
  <si>
    <t>22/11/2018|Law passed||;28/11/2019|Amended|Amended by Decree 10.143|</t>
  </si>
  <si>
    <t>full text (PDF)|https://climate-laws.org/rails/active_storage/blobs/eyJfcmFpbHMiOnsibWVzc2FnZSI6IkJBaHBBZ0VGIiwiZXhwIjpudWxsLCJwdXIiOiJibG9iX2lkIn19--f0039d5fd063c26edc4d1e6159c2e8466179da6e/f|pt;Decree 10.143 of 2019 (full text)|http://www.planalto.gov.br/ccivil_03/_Ato2019-2022/2019/Decreto/D10143.htm|pt</t>
  </si>
  <si>
    <t>Decrees 10.145/2019 and 10.845/2021 on the Interministerial Committee on Climate Change and Green Growth and associated resolution</t>
  </si>
  <si>
    <t>Capacity building|Governance;Institutional mandates|Governance;Processes, plans and strategies|Governance;Subnational and citizen participation|Governance</t>
  </si>
  <si>
    <t>28/11/2019|Decree 10.145 approved||;25/10/2021|Decree 10.845 approved||</t>
  </si>
  <si>
    <t>Link to decree 10.145|http://www.planalto.gov.br/ccivil_03/_Ato2019-2022/2019/Decreto/D10145.htm|pt;Link to decree 10.845|http://www.planalto.gov.br/ccivil_03/_ato2019-2022/2021/Decreto/D10845.htm#art20|pt</t>
  </si>
  <si>
    <t>Decree no. 10.387 to provide incentives for financing infrastructure projects with environmental and social benefits.</t>
  </si>
  <si>
    <t>Renewables;Brt</t>
  </si>
  <si>
    <t>05/06/2020|Decree published||</t>
  </si>
  <si>
    <t>Link to official website|https://www.in.gov.br/en/web/dou/-/decreto-n-10.387-de-5-de-junho-de-2020-260391759|pt;Link to 2016 decree on official website|http://www.planalto.gov.br/ccivil_03/_Ato2015-2018/2016/Decreto/D8874.htm|pt</t>
  </si>
  <si>
    <t>Plan to Control Illegal Deforestation and Recovery of Native Vegetation (PPCDAm and PPCerrado)</t>
  </si>
  <si>
    <t>Subsidies|Economic;Processes, plans and strategies|Governance;Subnational and citizen participation|Governance</t>
  </si>
  <si>
    <t>Biodiversity Loss</t>
  </si>
  <si>
    <t>Deforestation;Amazon Forest</t>
  </si>
  <si>
    <t>25/12/2004|Approved||;25/12/2009|Amended||;25/12/2012|Amended||;25/12/2016|Amended||;25/10/2020|Amended||</t>
  </si>
  <si>
    <t>2004-2008 version|https://www.mma.gov.br/images/arquivo/80120/PPCDAM_fase1.pdf|pt;2020-2023 full version (PDF)|https://climate-laws.org/rails/active_storage/blobs/eyJfcmFpbHMiOnsibWVzc2FnZSI6IkJBaHBBbGNOIiwiZXhwIjpudWxsLCJwdXIiOiJibG9iX2lkIn19--b129f9eac4c56229e7dbab031f96ac17b137db5e/Plano%20Controle%20Desmatamento%20Ilegal%20MMA%202020.pdf|pt;2009-2011 version|https://www.mma.gov.br/images/arquivo/80120/PPCDAm%202%20fase%20_%202009-11.pdf|pt;2012-2015 version|https://www.mma.gov.br/images/arquivo/80120/PPCDAm/_FINAL_PPCDAM.PDF|pt;2016-2020 version|https://www.mma.gov.br/images/arquivo/80120/PPCDAm%20e%20PPCerrado%20-%20Encarte%20Principal%20-%20GPTI%20_%20p%20site.pdf|pt;Link to PPCerrado's 3rd phase (PDF)|http://combateaodesmatamento.mma.gov.br/images/conteudo/Livro-PPCDam-e-PPCerrado_WEB_1.pdf|pt</t>
  </si>
  <si>
    <t>Ten-Year Energy Expansion Plan (PDE 2029)</t>
  </si>
  <si>
    <t>06/01/2018|Approved||</t>
  </si>
  <si>
    <t>full text 1|https://www.epe.gov.br/sites-en/publicacoes-dados-abertos/publicacoes/PublicacoesArquivos/publicacao-212/Executive%20Summary%20PDE%202029.pdf|pt;full text 2|https://www.epe.gov.br/sites-pt/publicacoes-dados-abertos/publicacoes/Documents/PDE%202029.pdf|pt</t>
  </si>
  <si>
    <t>Law 13.755/2018 and Route 2030 programme</t>
  </si>
  <si>
    <t>Tax incentives|Economic;Processes, plans and strategies|Governance;Research &amp; Development, knowledge generation|Information</t>
  </si>
  <si>
    <t>Biofuels;Car Manufacturing</t>
  </si>
  <si>
    <t>10/12/2018|Approved||</t>
  </si>
  <si>
    <t>Link to law on official website|http://www.planalto.gov.br/ccivil_03/_ato2015-2018/2018/lei/L13755.htm|pt;Link to official website of Rota 2030|https://www.rota2030.com.br/|pt</t>
  </si>
  <si>
    <t>Decree 9.172/2017 (National Emissions Registration System - Sirene)</t>
  </si>
  <si>
    <t>Institutional mandates|Governance;MRV|Governance</t>
  </si>
  <si>
    <t>17/10/2017|Approved||</t>
  </si>
  <si>
    <t>Link to full text on official website|http://www.planalto.gov.br/ccivil_03/_ato2015-2018/2017/decreto/D9172.htm|pt;Normative instruction 12/2010|http://www.ibama.gov.br/sophia/cnia/legislacao/IBAMA/IN0012-231110.PDF|pt</t>
  </si>
  <si>
    <t>Law 12.305/2010, Ordinance 307/2019 and Decree 7.404/2022 on management of solid waste</t>
  </si>
  <si>
    <t>Programme;Law;Decree</t>
  </si>
  <si>
    <t>Urban;Waste</t>
  </si>
  <si>
    <t>02/08/2010|approved||;02/05/2019|Ordinance 307 passed||;12/01/2022|decree 10.936 passed||</t>
  </si>
  <si>
    <t>Link to law|http://www.planalto.gov.br/ccivil_03/_ato2007-2010/2010/lei/l12305.htm|pt;Link to 2022 decree|http://www.planalto.gov.br/ccivil_03/_Ato2019-2022/2022/Decreto/D10936.htm#art91|pt;National Zero Waste Program (PDF)|https://climate-laws.org/rails/active_storage/blobs/eyJfcmFpbHMiOnsibWVzc2FnZSI6IkJBaHBBdDhPIiwiZXhwIjpudWxsLCJwdXIiOiJibG9iX2lkIn19--7b603057503b4ff3a470c27e0a6759cc6579606f/Programa-Lixao-Zero.pdf|pt</t>
  </si>
  <si>
    <t>comment</t>
  </si>
  <si>
    <t>DIAGNÓSTICO  V PLAN NACIONAL DE ENERGÍA  2008-2021</t>
  </si>
  <si>
    <t>https://climate-laws.org/rails/active_storage/blobs/eyJfcmFpbHMiOnsibWVzc2FnZSI6IkJBaHBBcEVJIiwiZXhwIjpudWxsLCJwdXIiOiJibG9iX2lkIn19--8cff2b7cb1c14232beae785bc03c90cbf3627506/f|es</t>
  </si>
  <si>
    <t>https://climate-laws.org/rails/active_storage/blobs/eyJfcmFpbHMiOnsibWVzc2FnZSI6IkJBaHBBcEVJIiwiZXhwIjpudWxsLCJwdXIiOiJibG9iX2lkIn19--8cff2b7cb1c14232beae785bc03c90cbf3627506/f</t>
  </si>
  <si>
    <t>Michal</t>
  </si>
  <si>
    <t>Plan Nacional  de Energía 2015-2030</t>
  </si>
  <si>
    <t>https://climate-laws.org/rails/active_storage/blobs/eyJfcmFpbHMiOnsibWVzc2FnZSI6IkJBaHBBb0FLIiwiZXhwIjpudWxsLCJwdXIiOiJibG9iX2lkIn19--a10892e8c88b573e48f7133587cf1f2215dae7bc/1130%20new%20plan.pdf|es</t>
  </si>
  <si>
    <t>https://climate-laws.org/rails/active_storage/blobs/eyJfcmFpbHMiOnsibWVzc2FnZSI6IkJBaHBBb0FLIiwiZXhwIjpudWxsLCJwdXIiOiJibG9iX2lkIn19--a10892e8c88b573e48f7133587cf1f2215dae7bc/1130%20new%20plan.pdf</t>
  </si>
  <si>
    <t>Política Nacional de Producción y Consumo Sostenibles 2018 -2030</t>
  </si>
  <si>
    <t>https://climate-laws.org/rails/active_storage/blobs/eyJfcmFpbHMiOnsibWVzc2FnZSI6IkJBaHBBdklGIiwiZXhwIjpudWxsLCJwdXIiOiJibG9iX2lkIn19--63f8fb1e2503f77be0a47fce99825aff44876cbf/f|</t>
  </si>
  <si>
    <t>https://climate-laws.org/rails/active_storage/blobs/eyJfcmFpbHMiOnsibWVzc2FnZSI6IkJBaHBBdklGIiwiZXhwIjpudWxsLCJwdXIiOiJibG9iX2lkIn19--63f8fb1e2503f77be0a47fce99825aff44876cbf/f</t>
  </si>
  <si>
    <t>Oficialización de la Política Nacional de Producción y Consumo Sostenible</t>
  </si>
  <si>
    <t>https://climate-laws.org/rails/active_storage/blobs/eyJfcmFpbHMiOnsibWVzc2FnZSI6IkJBaHBBdk1GIiwiZXhwIjpudWxsLCJwdXIiOiJibG9iX2lkIn19--e0cd532446a425be46919aedf424793349e620cc/f|</t>
  </si>
  <si>
    <t>https://climate-laws.org/rails/active_storage/blobs/eyJfcmFpbHMiOnsibWVzc2FnZSI6IkJBaHBBdk1GIiwiZXhwIjpudWxsLCJwdXIiOiJibG9iX2lkIn19--e0cd532446a425be46919aedf424793349e620cc/f</t>
  </si>
  <si>
    <t xml:space="preserve">Política Nacional de Producción y Consumo Sostenibles 2018 -2030 </t>
  </si>
  <si>
    <t>http://www.digeca.go.cr/sites/default/files/documentos/politica_nacional_de_produccion_y_consumo_sostenibles.pdf|</t>
  </si>
  <si>
    <t>http://www.digeca.go.cr/sites/default/files/documentos/politica_nacional_de_produccion_y_consumo_sostenibles.pdf</t>
  </si>
  <si>
    <t>duplicate of row 4 text</t>
  </si>
  <si>
    <t>Ley 9518 INCENTIVOS Y PROMOCIÓN PARA EL TRANSPORTE ELÉCTRICO</t>
  </si>
  <si>
    <t>https://climate-laws.org/rails/active_storage/blobs/eyJfcmFpbHMiOnsibWVzc2FnZSI6IkJBaHBBdXdGIiwiZXhwIjpudWxsLCJwdXIiOiJibG9iX2lkIn19--5d5948869f89b0caed759c08b5763599571ec2cc/f|</t>
  </si>
  <si>
    <t>https://climate-laws.org/rails/active_storage/blobs/eyJfcmFpbHMiOnsibWVzc2FnZSI6IkJBaHBBdXdGIiwiZXhwIjpudWxsLCJwdXIiOiJibG9iX2lkIn19--5d5948869f89b0caed759c08b5763599571ec2cc/f</t>
  </si>
  <si>
    <t>http://www.pgrweb.go.cr/scij/Busqueda/Normativa/Normas/nrm_texto_completo.aspx?param1=NRTC&amp;nValor1=1&amp;nValor2=85810&amp;nValor3=111104&amp;strTipM=TC|</t>
  </si>
  <si>
    <t>http://www.pgrweb.go.cr/scij/Busqueda/Normativa/Normas/nrm_texto_completo.aspx?param1=NRTC&amp;nValor1=1&amp;nValor2=85810&amp;nValor3=111104&amp;strTipM=TC</t>
  </si>
  <si>
    <t>duplicate of row 7</t>
  </si>
  <si>
    <t>Reglamento para la exoneración del imp sobre las ventas y del selectivo de consumo a los repuestos de vehículos eléctricos y exoneración del imp selectivo de consumo y del 1% sobre el valor aduanero para las partes y centros de recarga Ley N° 9518, Nº 42489-MINAE-MOPT-H</t>
  </si>
  <si>
    <t>http://www.pgrweb.go.cr/scij/Busqueda/Normativa/Normas/nrm_texto_completo.aspx?param1=NRTC&amp;nValor1=1&amp;nValor2=92387&amp;nValor3=122303&amp;strTipM=TC|</t>
  </si>
  <si>
    <t>http://www.pgrweb.go.cr/scij/Busqueda/Normativa/Normas/nrm_texto_completo.aspx?param1=NRTC&amp;nValor1=1&amp;nValor2=92387&amp;nValor3=122303&amp;strTipM=TC</t>
  </si>
  <si>
    <t>Reglamento de incentivos para el transporte eléctrico
N° 41092-MINAE-H-MOPT</t>
  </si>
  <si>
    <t>http://www.pgrweb.go.cr/scij/Busqueda/Normativa/Normas/nrm_texto_completo.aspx?nValor1=1&amp;nValor2=86581|</t>
  </si>
  <si>
    <t>http://www.pgrweb.go.cr/scij/Busqueda/Normativa/Normas/nrm_texto_completo.aspx?nValor1=1&amp;nValor2=86581</t>
  </si>
  <si>
    <t>OFICIALIZACIÓN DEL PROGRAMA PAÍS CARBONO NEUTRALIDAD 2.0</t>
  </si>
  <si>
    <t>https://climate-laws.org/rails/active_storage/blobs/eyJfcmFpbHMiOnsibWVzc2FnZSI6IkJBaHBBb0VGIiwiZXhwIjpudWxsLCJwdXIiOiJibG9iX2lkIn19--8cfa03fbcaf659478091ab53b3662a712cd3a151/f|es</t>
  </si>
  <si>
    <t>https://climate-laws.org/rails/active_storage/blobs/eyJfcmFpbHMiOnsibWVzc2FnZSI6IkJBaHBBb0VGIiwiZXhwIjpudWxsLCJwdXIiOiJibG9iX2lkIn19--8cfa03fbcaf659478091ab53b3662a712cd3a151/f</t>
  </si>
  <si>
    <t>https://cambioclimatico.go.cr/metas/descarbonizacion/programa-pais-carbono-neutral-version-2-0/|es</t>
  </si>
  <si>
    <t>https://cambioclimatico.go.cr/metas/descarbonizacion/programa-pais-carbono-neutral-version-2-0/</t>
  </si>
  <si>
    <t>text/html; charset=iso-8859-1</t>
  </si>
  <si>
    <t>page not found</t>
  </si>
  <si>
    <t>Plan Nacional de Decarbonización 2018-2050</t>
  </si>
  <si>
    <t>https://cambioclimatico.go.cr/wp-content/uploads/2019/02/PLAN.pdf|es</t>
  </si>
  <si>
    <t>https://cambioclimatico.go.cr/wp-content/uploads/2019/02/PLAN.pdf</t>
  </si>
  <si>
    <t>Summary of the National Decarbonisation Plan</t>
  </si>
  <si>
    <t>https://www.scribd.com/document/400404187/Decarbonization-Plan-Costa-Rica|en</t>
  </si>
  <si>
    <t>https://www.scribd.com/document/400404187/Decarbonization-Plan-Costa-Rica</t>
  </si>
  <si>
    <t>requires sign in, suggest removing altogether</t>
  </si>
  <si>
    <t xml:space="preserve">Plan de acción interinstitucional para propiciar el uso del hidrógeno en el sector transporte </t>
  </si>
  <si>
    <t>https://sepse.go.cr/documentos/Plan_de_accion_institucional_para_hidrogeno.pdf|es</t>
  </si>
  <si>
    <t>https://sepse.go.cr/documentos/Plan_de_accion_institucional_para_hidrogeno.pdf</t>
  </si>
  <si>
    <t>Reglamento de Organización del Subsector Energía
Nº 35991-MINAET</t>
  </si>
  <si>
    <t>http://www.pgrweb.go.cr/scij/Busqueda/Normativa/Normas/nrm_texto_completo.aspx?nValor1=1&amp;nValor2=68011|es</t>
  </si>
  <si>
    <t>http://www.pgrweb.go.cr/scij/Busqueda/Normativa/Normas/nrm_texto_completo.aspx?nValor1=1&amp;nValor2=68011</t>
  </si>
  <si>
    <t>odluku o proglašenju zakona o biogorivima za prijevoz</t>
  </si>
  <si>
    <t>Croatia</t>
  </si>
  <si>
    <t>HRV</t>
  </si>
  <si>
    <t>Croatian</t>
  </si>
  <si>
    <t>https://climate-laws.org/rails/active_storage/blobs/eyJfcmFpbHMiOnsibWVzc2FnZSI6IkJBaHBBazhIIiwiZXhwIjpudWxsLCJwdXIiOiJibG9iX2lkIn19--39b8121074721df4190538ae8ff4a1cb1550a406/f|hr</t>
  </si>
  <si>
    <t>https://climate-laws.org/rails/active_storage/blobs/eyJfcmFpbHMiOnsibWVzc2FnZSI6IkJBaHBBazhIIiwiZXhwIjpudWxsLCJwdXIiOiJibG9iX2lkIn19--39b8121074721df4190538ae8ff4a1cb1550a406/f</t>
  </si>
  <si>
    <t>Zakon o biogorivima za prijevoz - pročišćeni tekst zakona</t>
  </si>
  <si>
    <t>Law on Transport biofuels - consolidated text of the law</t>
  </si>
  <si>
    <t>https://www.zakon.hr/z/189/Zakon-o-biogorivima-za-prijevoz|hr</t>
  </si>
  <si>
    <t>https://www.zakon.hr/z/189/Zakon-o-biogorivima-za-prijevoz</t>
  </si>
  <si>
    <t xml:space="preserve">Integrated National Energy and Climate Plan for the Republic of Croatia for the period 2021-2030 </t>
  </si>
  <si>
    <t>https://ec.europa.eu/energy/sites/ener/files/documents/hr_final_necp_main_en.pdf|en</t>
  </si>
  <si>
    <t>https://ec.europa.eu/energy/sites/ener/files/documents/hr_final_necp_main_en.pdf</t>
  </si>
  <si>
    <t>Integriran i energetsk i nacionalni i klimatsk i plan za Republiku Hrvatsku za r azdoblje od 2021. do 2030. godine</t>
  </si>
  <si>
    <t>https://ec.europa.eu/energy/sites/ener/files/documents/hr_final_necp_main_hr.pdf|hr</t>
  </si>
  <si>
    <t>https://ec.europa.eu/energy/sites/ener/files/documents/hr_final_necp_main_hr.pdf</t>
  </si>
  <si>
    <t>Recovery and resilience plan for Croatia</t>
  </si>
  <si>
    <t>https://ec.europa.eu/info/business-economy-euro/recovery-coronavirus/recovery-and-resilience-facility/croatias-recovery-and-resilience-plan_en#croatias-recovery-and-resilience-plan|en</t>
  </si>
  <si>
    <t>https://ec.europa.eu/info/business-economy-euro/recovery-coronavirus/recovery-and-resilience-facility/croatias-recovery-and-resilience-plan_en#croatias-recovery-and-resilience-plan</t>
  </si>
  <si>
    <t>Nacionalni Plan oporavka i otpornosti  2021-2026</t>
  </si>
  <si>
    <t>National recovery and resilience plan 2021-2026</t>
  </si>
  <si>
    <t xml:space="preserve">Croatian </t>
  </si>
  <si>
    <t>https://ec.europa.eu/info/files/recovery-and-resilience-plan-croatia_en|hr</t>
  </si>
  <si>
    <t>https://ec.europa.eu/info/files/recovery-and-resilience-plan-croatia_en</t>
  </si>
  <si>
    <t>Plan oporavka</t>
  </si>
  <si>
    <t>https://planoporavka.gov.hr|hr</t>
  </si>
  <si>
    <t>https://planoporavka.gov.hr</t>
  </si>
  <si>
    <t>Factsheet: Croatia’s recovery and resilience plan</t>
  </si>
  <si>
    <t>https://ec.europa.eu/info/files/factsheet-croatias-recovery-and-resilience-plan_en|en</t>
  </si>
  <si>
    <t>https://ec.europa.eu/info/files/factsheet-croatias-recovery-and-resilience-plan_en</t>
  </si>
  <si>
    <t>ANNEX to the Council Implementing Decision on the approval of the assessment of the recovery and resilience plan for Croatia</t>
  </si>
  <si>
    <t>https://www.consilium.europa.eu/en/documents-publications/public-register/public-register-search/results/?WordsInSubject=&amp;WordsInText=&amp;DocumentNumber=10687%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</si>
  <si>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10687%2F21&amp;InterinstitutionalFiles=&amp;DocumentDateFrom=&amp;DocumentDateTo=&amp;MeetingDateFrom=&amp;MeetingDateTo=&amp;DocumentLanguage=EN&amp;OrderBy=DOCUMENT_DATE+DESC&amp;ctl00%24ctl00%24cpMain%24cpMain%24btnSubmit=</t>
  </si>
  <si>
    <t>Decreto Ley No. 170 del sistema de medidas de defensa civil</t>
  </si>
  <si>
    <t>Cuba</t>
  </si>
  <si>
    <t>CUB</t>
  </si>
  <si>
    <t>http://www.parlamentocubano.gob.cu/index.php/documento/ley-de-la-defensa-nacional/|es</t>
  </si>
  <si>
    <t>http://www.parlamentocubano.gob.cu/index.php/documento/ley-de-la-defensa-nacional/</t>
  </si>
  <si>
    <t>https://climate-laws.org/rails/active_storage/blobs/eyJfcmFpbHMiOnsibWVzc2FnZSI6IkJBaHBBbW9NIiwiZXhwIjpudWxsLCJwdXIiOiJibG9iX2lkIn19--bda483175a199dedc2476d73b4a91172f7c936bc/cub82158.pdf|es</t>
  </si>
  <si>
    <t>https://climate-laws.org/rails/active_storage/blobs/eyJfcmFpbHMiOnsibWVzc2FnZSI6IkJBaHBBbW9NIiwiZXhwIjpudWxsLCJwdXIiOiJibG9iX2lkIn19--bda483175a199dedc2476d73b4a91172f7c936bc/cub82158.pdf</t>
  </si>
  <si>
    <t>identical doc to row 26</t>
  </si>
  <si>
    <t>Enfrentamiento al Cambio Climático en la República de Cuba - Tarea Vida</t>
  </si>
  <si>
    <t>https://climate-laws.org/rails/active_storage/blobs/eyJfcmFpbHMiOnsibWVzc2FnZSI6IkJBaHBBcXdFIiwiZXhwIjpudWxsLCJwdXIiOiJibG9iX2lkIn19--3db0019152b7cb8512ba5a07aec475310face4d9/f|es</t>
  </si>
  <si>
    <t>https://climate-laws.org/rails/active_storage/blobs/eyJfcmFpbHMiOnsibWVzc2FnZSI6IkJBaHBBcXdFIiwiZXhwIjpudWxsLCJwdXIiOiJibG9iX2lkIn19--3db0019152b7cb8512ba5a07aec475310face4d9/f</t>
  </si>
  <si>
    <t>Tarea Vida</t>
  </si>
  <si>
    <t>https://www.ecured.cu/Tarea_Vida|es</t>
  </si>
  <si>
    <t>https://www.ecured.cu/Tarea_Vida</t>
  </si>
  <si>
    <t xml:space="preserve">Cyprus’ recovery and resilience plan
</t>
  </si>
  <si>
    <t>Cyprus</t>
  </si>
  <si>
    <t>CYP</t>
  </si>
  <si>
    <t>https://ec.europa.eu/info/business-economy-euro/recovery-coronavirus/recovery-and-resilience-facility/cyprus-recovery-and-resilience-plan_en#cyprus-recovery-and-resilience-plan|en</t>
  </si>
  <si>
    <t>https://ec.europa.eu/info/business-economy-euro/recovery-coronavirus/recovery-and-resilience-facility/cyprus-recovery-and-resilience-plan_en#cyprus-recovery-and-resilience-plan</t>
  </si>
  <si>
    <t>ANNEX to the Council Implementing Decision on the approval of the assessment of the recovery and resilience plan for Cyprus</t>
  </si>
  <si>
    <t>https://www.consilium.europa.eu/en/documents-publications/public-register/public-register-search/results/?WordsInSubject=&amp;WordsInText=&amp;DocumentNumber=10686%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</si>
  <si>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10686%2F21&amp;InterinstitutionalFiles=&amp;DocumentDateFrom=&amp;DocumentDateTo=&amp;MeetingDateFrom=&amp;MeetingDateTo=&amp;DocumentLanguage=EN&amp;OrderBy=DOCUMENT_DATE+DESC&amp;ctl00%24ctl00%24cpMain%24cpMain%24btnSubmit=</t>
  </si>
  <si>
    <t xml:space="preserve">Factsheet: Cyprus’s recovery and resilience plan
</t>
  </si>
  <si>
    <t>https://ec.europa.eu/info/files/factsheet-cypruss-recovery-and-resilience-plan_en|en</t>
  </si>
  <si>
    <t>https://ec.europa.eu/info/files/factsheet-cypruss-recovery-and-resilience-plan_en</t>
  </si>
  <si>
    <t xml:space="preserve">Σχέδιο Ανάκαμψης και Ανθεκτικότητας - περίληψη
</t>
  </si>
  <si>
    <t>Recovery and Resilience Plan - Summary</t>
  </si>
  <si>
    <t>http://www.dgepcd.gov.cy/dgepcd/dgepcd.nsf/All/F40FB0CE906370CAC22586A4002C8BF7?OpenDocument|el</t>
  </si>
  <si>
    <t>http://www.dgepcd.gov.cy/dgepcd/dgepcd.nsf/All/F40FB0CE906370CAC22586A4002C8BF7?OpenDocument</t>
  </si>
  <si>
    <t>Cyprus Recovery and Resilience Plan</t>
  </si>
  <si>
    <t>http://www.cyprus-tomorrow.gov.cy/cypresidency/kyprostoavrio.nsf/all/B37B4D3AC1DB73B6C22586DA00421E05/$file/Cyprus%20RRP%20For%20Upload%2020052021.pdf?openelement|el</t>
  </si>
  <si>
    <t>http://www.cyprus-tomorrow.gov.cy/cypresidency/kyprostoavrio.nsf/all/B37B4D3AC1DB73B6C22586DA00421E05/$file/Cyprus%20RRP%20For%20Upload%2020052021.pdf?openelement</t>
  </si>
  <si>
    <t>this is a pdf</t>
  </si>
  <si>
    <t xml:space="preserve">Státní politika životního prostředí České republiky 2012–2020, Ve znění aktualizace roku 2016 </t>
  </si>
  <si>
    <t>Czechia</t>
  </si>
  <si>
    <t>CZE</t>
  </si>
  <si>
    <t>Czech</t>
  </si>
  <si>
    <t>http://www.lse.ac.uk/GranthamInstitute/wp-content/uploads/laws/1142.pdf|</t>
  </si>
  <si>
    <t>http://www.lse.ac.uk/GranthamInstitute/wp-content/uploads/laws/1142.pdf</t>
  </si>
  <si>
    <t xml:space="preserve">State Environmental Policy of the Czech Republic 2012–2020, as amended in 2016 </t>
  </si>
  <si>
    <t>https://climate-laws.org/rails/active_storage/blobs/eyJfcmFpbHMiOnsibWVzc2FnZSI6IkJBaHBBb0VLIiwiZXhwIjpudWxsLCJwdXIiOiJibG9iX2lkIn19--1058fbb6b883cc2ca7904ec80cc72419c15f2f18/1142%20-%20EN%20translation.pdf|en</t>
  </si>
  <si>
    <t>https://climate-laws.org/rails/active_storage/blobs/eyJfcmFpbHMiOnsibWVzc2FnZSI6IkJBaHBBb0VLIiwiZXhwIjpudWxsLCJwdXIiOiJibG9iX2lkIn19--1058fbb6b883cc2ca7904ec80cc72419c15f2f18/1142%20-%20EN%20translation.pdf</t>
  </si>
  <si>
    <t>Politika ochrany klimatu vČR</t>
  </si>
  <si>
    <t>https://climate-laws.org/rails/active_storage/blobs/eyJfcmFpbHMiOnsibWVzc2FnZSI6IkJBaHBBaEFHIiwiZXhwIjpudWxsLCJwdXIiOiJibG9iX2lkIn19--ebfc9a389fd60d24d891b2f13876039718fca2c8/f|</t>
  </si>
  <si>
    <t>https://climate-laws.org/rails/active_storage/blobs/eyJfcmFpbHMiOnsibWVzc2FnZSI6IkJBaHBBaEFHIiwiZXhwIjpudWxsLCJwdXIiOiJibG9iX2lkIn19--ebfc9a389fd60d24d891b2f13876039718fca2c8/f</t>
  </si>
  <si>
    <t xml:space="preserve">CLIMATE PROTECTION POLICY OF THE CZECH REPUBLIC, Executive summary </t>
  </si>
  <si>
    <t>https://climate-laws.org/rails/active_storage/blobs/eyJfcmFpbHMiOnsibWVzc2FnZSI6IkJBaHBBaEVHIiwiZXhwIjpudWxsLCJwdXIiOiJibG9iX2lkIn19--c3a8cc54f6f111cbdcd31145a9d820aec4e366fd/f|</t>
  </si>
  <si>
    <t>https://climate-laws.org/rails/active_storage/blobs/eyJfcmFpbHMiOnsibWVzc2FnZSI6IkJBaHBBaEVHIiwiZXhwIjpudWxsLCJwdXIiOiJibG9iX2lkIn19--c3a8cc54f6f111cbdcd31145a9d820aec4e366fd/f</t>
  </si>
  <si>
    <t xml:space="preserve">National Energy and Climate Plan of the Czech Republic </t>
  </si>
  <si>
    <t>https://ec.europa.eu/energy/sites/ener/files/documents/cs_final_necp_main_en.pdf|en</t>
  </si>
  <si>
    <t>https://ec.europa.eu/energy/sites/ener/files/documents/cs_final_necp_main_en.pdf</t>
  </si>
  <si>
    <t>Vnitrostátní plán České republiky V Oblasti energetiky a klimatu</t>
  </si>
  <si>
    <t>https://ec.europa.eu/energy/sites/ener/files/documents/cs_final_necp_main_cs.pdf|cs</t>
  </si>
  <si>
    <t>https://ec.europa.eu/energy/sites/ener/files/documents/cs_final_necp_main_cs.pdf</t>
  </si>
  <si>
    <t xml:space="preserve">Assessment of the recovery and resilience plan
</t>
  </si>
  <si>
    <t>https://ec.europa.eu/info/business-economy-euro/recovery-coronavirus/recovery-and-resilience-facility/czechias-recovery-and-resilience-plan_en#czechias-recovery-and-resilience-plan|en</t>
  </si>
  <si>
    <t>https://ec.europa.eu/info/business-economy-euro/recovery-coronavirus/recovery-and-resilience-facility/czechias-recovery-and-resilience-plan_en#czechias-recovery-and-resilience-plan</t>
  </si>
  <si>
    <t>ANNEX to the Council Implementing Decision on the approval of the assessment of the recovery and resilience plan for Czechia</t>
  </si>
  <si>
    <t>https://www.consilium.europa.eu/en/documents-publications/public-register/public-register-search/results/?WordsInSubject=&amp;WordsInText=&amp;DocumentNumber=11047%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</si>
  <si>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11047%2F21&amp;InterinstitutionalFiles=&amp;DocumentDateFrom=&amp;DocumentDateTo=&amp;MeetingDateFrom=&amp;MeetingDateTo=&amp;DocumentLanguage=EN&amp;OrderBy=DOCUMENT_DATE+DESC&amp;ctl00%24ctl00%24cpMain%24cpMain%24btnSubmit=</t>
  </si>
  <si>
    <t>Národní plán obnovy (webová stránka)</t>
  </si>
  <si>
    <t>https://www.planobnovycr.cz|cs</t>
  </si>
  <si>
    <t>https://www.planobnovycr.cz</t>
  </si>
  <si>
    <t xml:space="preserve">Factsheet: Czechia’s recovery and resilience plan
</t>
  </si>
  <si>
    <t>https://ec.europa.eu/info/files/factsheet-czechias-recovery-and-resilience-plan_en|en</t>
  </si>
  <si>
    <t>https://ec.europa.eu/info/files/factsheet-czechias-recovery-and-resilience-plan_en</t>
  </si>
  <si>
    <t>DEFIS ET ENJEUX DU SECTEUR DE L’ENERGIE EN COTE D’IVOIRE : MESURES D’URGENCE ET PLANS A MOYEN ET LONG TERMES - RAPPORT DE SYNTHESE</t>
  </si>
  <si>
    <t>Issues and challenges of the Energy Sector in Ivory Coast: Emergency Measures and Middle and long terms - synthesis report</t>
  </si>
  <si>
    <t>Côte d'Ivoire</t>
  </si>
  <si>
    <t>CIV</t>
  </si>
  <si>
    <t>Report</t>
  </si>
  <si>
    <t>https://climate-laws.org/rails/active_storage/blobs/eyJfcmFpbHMiOnsibWVzc2FnZSI6IkJBaHBBaDRHIiwiZXhwIjpudWxsLCJwdXIiOiJibG9iX2lkIn19--d9811505585b4f8ee13c3f2acf3cd0c8580331f2/f|</t>
  </si>
  <si>
    <t>https://climate-laws.org/rails/active_storage/blobs/eyJfcmFpbHMiOnsibWVzc2FnZSI6IkJBaHBBaDRHIiwiZXhwIjpudWxsLCJwdXIiOiJibG9iX2lkIn19--d9811505585b4f8ee13c3f2acf3cd0c8580331f2/f</t>
  </si>
  <si>
    <t>STRATEGIC DEVELOPMENT PLAN 2011-2030 of the Republic of Cote d’Ivoire: PROJECT SHEETS for  Conventional Electricity, Renewable and other New Energy</t>
  </si>
  <si>
    <t>http://www.lse.ac.uk/GranthamInstitute/wp-content/uploads/laws/3001_annex%20EN.pdf|en</t>
  </si>
  <si>
    <t>http://www.lse.ac.uk/GranthamInstitute/wp-content/uploads/laws/3001_annex%20EN.pdf</t>
  </si>
  <si>
    <t>Law on Climate (Climate Act)</t>
  </si>
  <si>
    <t>Denmark</t>
  </si>
  <si>
    <t>DNK</t>
  </si>
  <si>
    <t>https://climate-laws.org/rails/active_storage/blobs/eyJfcmFpbHMiOnsibWVzc2FnZSI6IkJBaHBBa2tOIiwiZXhwIjpudWxsLCJwdXIiOiJibG9iX2lkIn19--986ba52e9615a9b07611410f3bd6287ac58e5570/Climate%20Act_Denmark%20-%20WEBTILG%C3%86NGELIG-A.pdf|en</t>
  </si>
  <si>
    <t>https://climate-laws.org/rails/active_storage/blobs/eyJfcmFpbHMiOnsibWVzc2FnZSI6IkJBaHBBa2tOIiwiZXhwIjpudWxsLCJwdXIiOiJibG9iX2lkIn19--986ba52e9615a9b07611410f3bd6287ac58e5570/Climate%20Act_Denmark%20-%20WEBTILG%C3%86NGELIG-A.pdf</t>
  </si>
  <si>
    <t xml:space="preserve">Lov om klima </t>
  </si>
  <si>
    <t>Danish</t>
  </si>
  <si>
    <t>https://www.retsinformation.dk/eli/lta/2020/965|da</t>
  </si>
  <si>
    <t>https://www.retsinformation.dk/eli/lta/2020/965</t>
  </si>
  <si>
    <t>Bekendtgørelse af lov om bæredygtige biobrændstoffer og om reduktion af drivhusgasser fra transport</t>
  </si>
  <si>
    <t>Executive Order</t>
  </si>
  <si>
    <t>https://www.retsinformation.dk/Forms/R0710.aspx?id=137888|da</t>
  </si>
  <si>
    <t>https://www.retsinformation.dk/Forms/R0710.aspx?id=137888</t>
  </si>
  <si>
    <t>Bekendtgørelse af lov om bæredygtige biobrændstoffer og om reduktion af drivhusgasser (biobrændstofloven)</t>
  </si>
  <si>
    <t>https://www.retsinformation.dk/Forms/R0710.aspx?id=212795|da</t>
  </si>
  <si>
    <t>https://www.retsinformation.dk/Forms/R0710.aspx?id=212795</t>
  </si>
  <si>
    <t>Lov om ændring af lov om bæredygtige biobrændstoffer og om reduktion af drivhusgasser fra transport</t>
  </si>
  <si>
    <t>https://www.retsinformation.dk/Forms/R0710.aspx?id=185842|da</t>
  </si>
  <si>
    <t>https://www.retsinformation.dk/Forms/R0710.aspx?id=185842</t>
  </si>
  <si>
    <t>Assessment of the recovery and resilience plan</t>
  </si>
  <si>
    <t>https://ec.europa.eu/info/business-economy-euro/recovery-coronavirus/recovery-and-resilience-facility/denmarks-recovery-and-resilience-plan_en#denmarks-recovery-and-resilience-plan|en</t>
  </si>
  <si>
    <t>https://ec.europa.eu/info/business-economy-euro/recovery-coronavirus/recovery-and-resilience-facility/denmarks-recovery-and-resilience-plan_en#denmarks-recovery-and-resilience-plan</t>
  </si>
  <si>
    <t>ANNEX to the Council Implementing Decision on the approval of the assessment of the recovery and resilience plan for Denmark</t>
  </si>
  <si>
    <t>https://www.consilium.europa.eu/en/documents-publications/public-register/public-register-search/results/?WordsInSubject=&amp;WordsInText=&amp;DocumentNumber=10154%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</si>
  <si>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10154%2F21&amp;InterinstitutionalFiles=&amp;DocumentDateFrom=&amp;DocumentDateTo=&amp;MeetingDateFrom=&amp;MeetingDateTo=&amp;DocumentLanguage=EN&amp;OrderBy=DOCUMENT_DATE+DESC&amp;ctl00%24ctl00%24cpMain%24cpMain%24btnSubmit=</t>
  </si>
  <si>
    <t>Factsheet: Denmark’s recovery and resilience plan</t>
  </si>
  <si>
    <t>https://ec.europa.eu/info/files/factsheet-denmarks-recovery-and-resilience-plan_en|en</t>
  </si>
  <si>
    <t>https://ec.europa.eu/info/files/factsheet-denmarks-recovery-and-resilience-plan_en</t>
  </si>
  <si>
    <t>Dansk genopretningsplan skal understøtte den grønne omstilling</t>
  </si>
  <si>
    <t>https://fm.dk/nyheder/nyhedsarkiv/2021/april/dansk-genopretningsplan-skal-understoette-den-groenne-omstilling/|da</t>
  </si>
  <si>
    <t>https://fm.dk/nyheder/nyhedsarkiv/2021/april/dansk-genopretningsplan-skal-understoette-den-groenne-omstilling/</t>
  </si>
  <si>
    <t>press release</t>
  </si>
  <si>
    <t>Ley No. 5707 sobre Incentivo al Desarrollo de Fuentes Renovables de Energía y de sus Regímenes Especiales</t>
  </si>
  <si>
    <t>Dominican Republic</t>
  </si>
  <si>
    <t>DOM</t>
  </si>
  <si>
    <t>https://climate-laws.org/rails/active_storage/blobs/eyJfcmFpbHMiOnsibWVzc2FnZSI6IkJBaHBBblVNIiwiZXhwIjpudWxsLCJwdXIiOiJibG9iX2lkIn19--48ba644621e961265f1577ade3f823fade6b81e8/Ley-57-07-sobre-Energia-Renovable.pdf|es</t>
  </si>
  <si>
    <t>https://climate-laws.org/rails/active_storage/blobs/eyJfcmFpbHMiOnsibWVzc2FnZSI6IkJBaHBBblVNIiwiZXhwIjpudWxsLCJwdXIiOiJibG9iX2lkIn19--48ba644621e961265f1577ade3f823fade6b81e8/Ley-57-07-sobre-Energia-Renovable.pdf</t>
  </si>
  <si>
    <t>Ley número 57-07  Sobre Incentivo al Desarrollo de Fuentes Renovables de Energía y sus Regímenes Especiales: REGLAMENTO Decreto 202-08</t>
  </si>
  <si>
    <t>https://climate-laws.org/rails/active_storage/blobs/eyJfcmFpbHMiOnsibWVzc2FnZSI6IkJBaHBBbllNIiwiZXhwIjpudWxsLCJwdXIiOiJibG9iX2lkIn19--e6fc855a98bae9f1f1a4a1a34f627cc9a59b44e9/REGLAMENTO-LEY-57-07.pdf|es</t>
  </si>
  <si>
    <t>https://climate-laws.org/rails/active_storage/blobs/eyJfcmFpbHMiOnsibWVzc2FnZSI6IkJBaHBBbllNIiwiZXhwIjpudWxsLCJwdXIiOiJibG9iX2lkIn19--e6fc855a98bae9f1f1a4a1a34f627cc9a59b44e9/REGLAMENTO-LEY-57-07.pdf</t>
  </si>
  <si>
    <t>LEY NO. 112-00 de Hidrocarburos</t>
  </si>
  <si>
    <t>Law no. 112-00 on hydrocarbons</t>
  </si>
  <si>
    <t>http://www.lse.ac.uk/GranthamInstitute/wp-content/uploads/laws/1167.pdf|es</t>
  </si>
  <si>
    <t>http://www.lse.ac.uk/GranthamInstitute/wp-content/uploads/laws/1167.pdf</t>
  </si>
  <si>
    <t>LEY NO. 112-00 de Hidrocarburos: DECRETO NÚM: 307-01</t>
  </si>
  <si>
    <t>Law no. 112-00 on hydrocarbons: Decree No.: 307-01</t>
  </si>
  <si>
    <t>https://climate-laws.org/rails/active_storage/blobs/eyJfcmFpbHMiOnsibWVzc2FnZSI6IkJBaHBBb0lLIiwiZXhwIjpudWxsLCJwdXIiOiJibG9iX2lkIn19--93417408deb735da6db17c698c27010a41a2fa6a/1167%20-%20regulation.pdf|es</t>
  </si>
  <si>
    <t>https://climate-laws.org/rails/active_storage/blobs/eyJfcmFpbHMiOnsibWVzc2FnZSI6IkJBaHBBb0lLIiwiZXhwIjpudWxsLCJwdXIiOiJibG9iX2lkIn19--93417408deb735da6db17c698c27010a41a2fa6a/1167%20-%20regulation.pdf</t>
  </si>
  <si>
    <t>Plan Nacional para el Buen Vivir 2013-2017</t>
  </si>
  <si>
    <t>Ecuador</t>
  </si>
  <si>
    <t>ECU</t>
  </si>
  <si>
    <t>https://climate-laws.org/rails/active_storage/blobs/eyJfcmFpbHMiOnsibWVzc2FnZSI6IkJBaHBBbjBJIiwiZXhwIjpudWxsLCJwdXIiOiJibG9iX2lkIn19--fd50486767f78bb3011b53da727d3823c1d33e62/f|</t>
  </si>
  <si>
    <t>https://climate-laws.org/rails/active_storage/blobs/eyJfcmFpbHMiOnsibWVzc2FnZSI6IkJBaHBBbjBJIiwiZXhwIjpudWxsLCJwdXIiOiJibG9iX2lkIn19--fd50486767f78bb3011b53da727d3823c1d33e62/f</t>
  </si>
  <si>
    <t>Plan Nacional de Desarrollo 2017-2021</t>
  </si>
  <si>
    <t>https://climate-laws.org/rails/active_storage/blobs/eyJfcmFpbHMiOnsibWVzc2FnZSI6IkJBaHBBb01LIiwiZXhwIjpudWxsLCJwdXIiOiJibG9iX2lkIn19--85e3c6e16bf83f74cf006f1f16a0b00e762d0d62/1169%20-%20new%202017-2021%20plan.pdf|es</t>
  </si>
  <si>
    <t>https://climate-laws.org/rails/active_storage/blobs/eyJfcmFpbHMiOnsibWVzc2FnZSI6IkJBaHBBb01LIiwiZXhwIjpudWxsLCJwdXIiOiJibG9iX2lkIn19--85e3c6e16bf83f74cf006f1f16a0b00e762d0d62/1169%20-%20new%202017-2021%20plan.pdf</t>
  </si>
  <si>
    <t>Buen Vivir Plan Nacional 2013-2017</t>
  </si>
  <si>
    <t>http://www.lse.ac.uk/GranthamInstitute/wp-content/uploads/laws/1169.pdf|es</t>
  </si>
  <si>
    <t>http://www.lse.ac.uk/GranthamInstitute/wp-content/uploads/laws/1169.pdf</t>
  </si>
  <si>
    <t>DECRETA: REFÓRMESE EL PROGRAMA DE REDUCCIÓN DE LA CONTAMINACIÓN AMBIENTAL, RACIONALIZACIÓN DEL SUBSIDIO DE COMBUSTIBLES DEL TRANSPORTE PÚBLICO Y SU CHATARRÍZACIÓN.</t>
  </si>
  <si>
    <t>DECREES: REFORM THE PROGRAM TO REDUCE ENVIRONMENTAL POLLUTION, RATIONALIZATION OF THE FUEL SUBSIDIES FOR PUBLIC TRANSPORTATION AND ITS SCRAPING.</t>
  </si>
  <si>
    <t>http://www.lse.ac.uk/GranthamInstitute/wp-content/uploads/laws/1171a.pdf|es</t>
  </si>
  <si>
    <t>http://www.lse.ac.uk/GranthamInstitute/wp-content/uploads/laws/1171a.pdf</t>
  </si>
  <si>
    <t>Programme RENOVA (Executive Decree No. 741)</t>
  </si>
  <si>
    <t>http://www.lse.ac.uk/GranthamInstitute/wp-content/uploads/laws/1171b.pdf|es</t>
  </si>
  <si>
    <t>http://www.lse.ac.uk/GranthamInstitute/wp-content/uploads/laws/1171b.pdf</t>
  </si>
  <si>
    <t>Refórmese el Decreto Ejecutivo No. 636 de 17 de septiembre de 2007</t>
  </si>
  <si>
    <t>Amendment of Executive Decree No. 636 of September 17, 2007, published in Official Gazette No. 193 of October 18, 2007</t>
  </si>
  <si>
    <t>http://www.lse.ac.uk/GranthamInstitute/wp-content/uploads/laws/1171c.pdf|es</t>
  </si>
  <si>
    <t>http://www.lse.ac.uk/GranthamInstitute/wp-content/uploads/laws/1171c.pdf</t>
  </si>
  <si>
    <t>Refórmese el Decreto Ejecutivo No. 676 de 24 de febrero del 2011</t>
  </si>
  <si>
    <t>Amendment to Executive Decree No. 676 of February 24, 2011</t>
  </si>
  <si>
    <t>http://www.lse.ac.uk/GranthamInstitute/wp-content/uploads/laws/1171d.pdf|es</t>
  </si>
  <si>
    <t>http://www.lse.ac.uk/GranthamInstitute/wp-content/uploads/laws/1171d.pdf</t>
  </si>
  <si>
    <t>Estonia’s 2030 National Energy and Climate Plan (NECP 2030)</t>
  </si>
  <si>
    <t>Estonia</t>
  </si>
  <si>
    <t>EST</t>
  </si>
  <si>
    <t>https://ec.europa.eu/energy/sites/ener/files/documents/ee_final_necp_main_en.pdf|en</t>
  </si>
  <si>
    <t>https://ec.europa.eu/energy/sites/ener/files/documents/ee_final_necp_main_en.pdf</t>
  </si>
  <si>
    <t>Eesti riiklik energia- ja kliimakava aastani 2030 (REKK 2030)</t>
  </si>
  <si>
    <t>Estonian</t>
  </si>
  <si>
    <t>https://ec.europa.eu/energy/sites/ener/files/documents/ee_final_necp_main_ee.pdf|et</t>
  </si>
  <si>
    <t>https://ec.europa.eu/energy/sites/ener/files/documents/ee_final_necp_main_ee.pdf</t>
  </si>
  <si>
    <t>Estonia’s recovery and resilience plan</t>
  </si>
  <si>
    <t>https://ec.europa.eu/info/business-economy-euro/recovery-coronavirus/recovery-and-resilience-facility/estonias-recovery-and-resilience-plan_en|en</t>
  </si>
  <si>
    <t>https://ec.europa.eu/info/business-economy-euro/recovery-coronavirus/recovery-and-resilience-facility/estonias-recovery-and-resilience-plan_en</t>
  </si>
  <si>
    <t>Proposal for a Council Implementing Decision on the approval of the assessment of the recovery and resilience plan of Estonia and Annex</t>
  </si>
  <si>
    <t>https://ec.europa.eu/info/publications/proposal-council-implementing-decision-approval-assessment-recovery-and-resilience-plan-estonia-and-annex_en|en</t>
  </si>
  <si>
    <t>https://ec.europa.eu/info/publications/proposal-council-implementing-decision-approval-assessment-recovery-and-resilience-plan-estonia-and-annex_en</t>
  </si>
  <si>
    <t>Rehabilitation and Resilience Facility (RRF) for Estonia - website</t>
  </si>
  <si>
    <t>https://rrf.ee|et</t>
  </si>
  <si>
    <t>https://rrf.ee</t>
  </si>
  <si>
    <t>Factsheet: Estonia's recovery and resilience plan</t>
  </si>
  <si>
    <t>https://ec.europa.eu/info/sites/default/files/factsheet-estonia_en.pdf|en</t>
  </si>
  <si>
    <t>https://ec.europa.eu/info/sites/default/files/factsheet-estonia_en.pdf</t>
  </si>
  <si>
    <t>https://ec.europa.eu/info/files/estonias-recovery-and-resilience-plan_en|et</t>
  </si>
  <si>
    <t>https://ec.europa.eu/info/files/estonias-recovery-and-resilience-plan_en</t>
  </si>
  <si>
    <t>A policy framework for climate and energy in the period from 2020 to 2030</t>
  </si>
  <si>
    <t>European Union</t>
  </si>
  <si>
    <t>EUR</t>
  </si>
  <si>
    <t>https://climate-laws.org/rails/active_storage/blobs/eyJfcmFpbHMiOnsibWVzc2FnZSI6IkJBaHBBaVFKIiwiZXhwIjpudWxsLCJwdXIiOiJibG9iX2lkIn19--c450d01ccd2887c0895c2f4ff66508d6324ffeb8/f|</t>
  </si>
  <si>
    <t>https://climate-laws.org/rails/active_storage/blobs/eyJfcmFpbHMiOnsibWVzc2FnZSI6IkJBaHBBaVFKIiwiZXhwIjpudWxsLCJwdXIiOiJibG9iX2lkIn19--c450d01ccd2887c0895c2f4ff66508d6324ffeb8/f</t>
  </si>
  <si>
    <t>European Council (23 and 24 October 2014) ‒ Conclusions</t>
  </si>
  <si>
    <t>https://climate-laws.org/rails/active_storage/blobs/eyJfcmFpbHMiOnsibWVzc2FnZSI6IkJBaHBBaVVKIiwiZXhwIjpudWxsLCJwdXIiOiJibG9iX2lkIn19--13690ef5c1b9188c08fad85dbcf56b8ea1f41143/f|</t>
  </si>
  <si>
    <t>https://climate-laws.org/rails/active_storage/blobs/eyJfcmFpbHMiOnsibWVzc2FnZSI6IkJBaHBBaVVKIiwiZXhwIjpudWxsLCJwdXIiOiJibG9iX2lkIn19--13690ef5c1b9188c08fad85dbcf56b8ea1f41143/f</t>
  </si>
  <si>
    <t>The CAP towards 2020: Meeting the food, natural resources and territorial challenges of the future</t>
  </si>
  <si>
    <t>http://www.lse.ac.uk/GranthamInstitute/wp-content/uploads/laws/1200.pdf|en</t>
  </si>
  <si>
    <t>http://www.lse.ac.uk/GranthamInstitute/wp-content/uploads/laws/1200.pdf</t>
  </si>
  <si>
    <t>Overview of CAP Reform 2014-2020</t>
  </si>
  <si>
    <t>https://climate-laws.org/rails/active_storage/blobs/eyJfcmFpbHMiOnsibWVzc2FnZSI6IkJBaHBBb1VLIiwiZXhwIjpudWxsLCJwdXIiOiJibG9iX2lkIn19--b8e87f1a94d4f4b1faaf3a3faf9763d0fa405159/1200%20-%20overview.pdf|en</t>
  </si>
  <si>
    <t>https://climate-laws.org/rails/active_storage/blobs/eyJfcmFpbHMiOnsibWVzc2FnZSI6IkJBaHBBb1VLIiwiZXhwIjpudWxsLCJwdXIiOiJibG9iX2lkIn19--b8e87f1a94d4f4b1faaf3a3faf9763d0fa405159/1200%20-%20overview.pdf</t>
  </si>
  <si>
    <t>Regulation (EU) 2020/2220 of the European Parliament and of the Council of 23 December 2020 laying down certain transitional provisions for support from the European Agricultural Fund for Rural Development (EAFRD) and from the European Agricultural Guarantee Fund (EAGF) in the years 2021 and 2022 and amending Regulations (EU) No 1305/2013, (EU) No 1306/2013 and (EU) No 1307/2013 as regards resources and application in the years 2021 and 2022 and Regulation (EU) No 1308/2013 as regards resources and the distribution of such support in respect of the years 2021 and 2022</t>
  </si>
  <si>
    <t>EU Regulation</t>
  </si>
  <si>
    <t>https://eur-lex.europa.eu/legal-content/EN/TXT/?uri=CELEX:32020R2220|en</t>
  </si>
  <si>
    <t>https://eur-lex.europa.eu/legal-content/EN/TXT/?uri=CELEX:32020R2220</t>
  </si>
  <si>
    <t>Directive 2003/87/EC of the European Parliament and of the Council of 13 October 2003 establishing a scheme for greenhouse gas emission allowance trading within the Community and amending Council Directive 96/61/EC</t>
  </si>
  <si>
    <t>EU Directive</t>
  </si>
  <si>
    <t>https://eur-lex.europa.eu/legal-content/EN/TXT/?uri=CELEX%3A32003L0087|en</t>
  </si>
  <si>
    <t>https://eur-lex.europa.eu/legal-content/EN/TXT/?uri=CELEX%3A32003L0087</t>
  </si>
  <si>
    <t>Directive 2009/29/EC of the European Parliament and of the Council of 23 April 2009 amending Directive 2003/87/EC so as to improve and extend the greenhouse gas emission allowance trading scheme of the Community</t>
  </si>
  <si>
    <t>https://eur-lex.europa.eu/legal-content/EN/TXT/?uri=CELEX:32009L0029|en</t>
  </si>
  <si>
    <t>https://eur-lex.europa.eu/legal-content/EN/TXT/?uri=CELEX:32009L0029</t>
  </si>
  <si>
    <t>DIRECTIVE (EU) 2018/410 OF THE EUROPEAN PARLIAMENT AND OF THE COUNCIL of 14 March 2018 amending Directive 2003/87/EC to enhance cost-effective emission reductions and low-carbon investments, and Decision (EU) 2015/1814</t>
  </si>
  <si>
    <t>https://eur-lex.europa.eu/legal-content/EN/TXT/HTML/?uri=CELEX:32018L0410&amp;from=PT|en</t>
  </si>
  <si>
    <t>https://eur-lex.europa.eu/legal-content/EN/TXT/HTML/?uri=CELEX:32018L0410&amp;from=PT</t>
  </si>
  <si>
    <t>Regulation (EC) No 1222/2009 of the European Parliament and of the Council of 25 November 2009 on the labelling of tyres with respect to fuel efficiency and other essential parameters</t>
  </si>
  <si>
    <t>http://eur-lex.europa.eu/legal-content/EN/TXT/?qid=1516634095318&amp;uri=CELEX:32009R1222|en</t>
  </si>
  <si>
    <t>http://eur-lex.europa.eu/legal-content/EN/TXT/?qid=1516634095318&amp;uri=CELEX:32009R1222</t>
  </si>
  <si>
    <t>REGULATION (EC) No 1222/2009 OF THE EUROPEAN PARLIAMENT AND OF THE COUNCIL of 25 November 2009 on the labelling of tyres with respect to fuel efficiency and other essential parameters</t>
  </si>
  <si>
    <t>http://www.lse.ac.uk/GranthamInstitute/wp-content/uploads/2018/02/tyres-energy-eff-EU-CELEX3A32009R12223AEN3ATXT.pdf|en</t>
  </si>
  <si>
    <t>http://www.lse.ac.uk/GranthamInstitute/wp-content/uploads/2018/02/tyres-energy-eff-EU-CELEX3A32009R12223AEN3ATXT.pdf</t>
  </si>
  <si>
    <t>Commission Decision of 12 March 2009 establishing the revised ecological criteria for the award of the Community Eco-label to televisions</t>
  </si>
  <si>
    <t>http://eur-lex.europa.eu/legal-content/EN/TXT/?uri=CELEX%3A32009D0300|en</t>
  </si>
  <si>
    <t>http://eur-lex.europa.eu/legal-content/EN/TXT/?uri=CELEX%3A32009D0300</t>
  </si>
  <si>
    <t>Commission Decision (EU) 2018/59 of 11 January 2018 amending Decision 2009/300/EC as regards the content, and period of validity, of the ecological criteria for the award of the EU Eco-label to televisions</t>
  </si>
  <si>
    <t>http://eur-lex.europa.eu/legal-content/EN/TXT/?uri=uriserv:OJ.L_.2018.010.01.0017.01.ENG&amp;toc=OJ:L:2018:010:TOC|en</t>
  </si>
  <si>
    <t>http://eur-lex.europa.eu/legal-content/EN/TXT/?uri=uriserv:OJ.L_.2018.010.01.0017.01.ENG&amp;toc=OJ:L:2018:010:TOC</t>
  </si>
  <si>
    <t>COMMISSION DECISION (EU) 2018/59 of 11 January 2018 amending Decision 2009/300/EC as regards the content, and period of validity, of the ecological criteria for the award of the EU Eco-label to televisions</t>
  </si>
  <si>
    <t>http://www.lse.ac.uk/GranthamInstitute/wp-content/uploads/2018/02/tv-ecolabel-eu-CELEX3A32018D00593AEN3ATXT.pdf|en</t>
  </si>
  <si>
    <t>http://www.lse.ac.uk/GranthamInstitute/wp-content/uploads/2018/02/tv-ecolabel-eu-CELEX3A32018D00593AEN3ATXT.pdf</t>
  </si>
  <si>
    <t>Regulation (EC) No 106/2008 of the European Parliament and of the Council of 15 January 2008 on a Community energy-efficiency labelling programme for office equipment (recast version)</t>
  </si>
  <si>
    <t>http://eur-lex.europa.eu/legal-content/EN/TXT/?qid=1516634095318&amp;uri=CELEX:32008R0106|en</t>
  </si>
  <si>
    <t>http://eur-lex.europa.eu/legal-content/EN/TXT/?qid=1516634095318&amp;uri=CELEX:32008R0106</t>
  </si>
  <si>
    <t>REGULATION (EC) No 106/2008 OF THE EUROPEAN PARLIAMENT AND OF THE COUNCIL of 15 January 2008 on a Community energy-efficiency labelling programme for office equipment</t>
  </si>
  <si>
    <t>http://www.lse.ac.uk/GranthamInstitute/wp-content/uploads/2018/02/labelling-office-EU-CELEX3A32008R01063AEN3ATXT.pdf|en</t>
  </si>
  <si>
    <t>http://www.lse.ac.uk/GranthamInstitute/wp-content/uploads/2018/02/labelling-office-EU-CELEX3A32008R01063AEN3ATXT.pdf</t>
  </si>
  <si>
    <t>Decision No 1386/2013/EU of the European Parliament and of the Council of 20 November 2013 on a General Union Environment Action Programme to 2020 ‘Living well, within the limits of our planet’</t>
  </si>
  <si>
    <t>http://eur-lex.europa.eu/legal-content/EN/TXT/?qid=1516647740078&amp;uri=CELEX:32013D1386|en</t>
  </si>
  <si>
    <t>http://eur-lex.europa.eu/legal-content/EN/TXT/?qid=1516647740078&amp;uri=CELEX:32013D1386</t>
  </si>
  <si>
    <t>DECISION No 1386/2013/EU OF THE EUROPEAN PARLIAMENT AND OF THE COUNCIL of 20 November 2013 on a General Union Environment Action Programme to 2020 ‘Living well, within the limits of our planet’</t>
  </si>
  <si>
    <t>http://www.lse.ac.uk/GranthamInstitute/wp-content/uploads/2018/02/living-well-planet-EU-CELEX3A32013D13863AEN3ATXT.pdf|en</t>
  </si>
  <si>
    <t>http://www.lse.ac.uk/GranthamInstitute/wp-content/uploads/2018/02/living-well-planet-EU-CELEX3A32013D13863AEN3ATXT.pdf</t>
  </si>
  <si>
    <t>Regulation (EU) No 1293/2013 of the European Parliament and of the Council of 11 December 2013 on the establishment of a Programme for the Environment and Climate Action (LIFE) and repealing Regulation (EC) No 614/2007</t>
  </si>
  <si>
    <t>https://eur-lex.europa.eu/legal-content/EN/TXT/?qid=1516647740078&amp;uri=CELEX:32013R1293|en</t>
  </si>
  <si>
    <t>https://eur-lex.europa.eu/legal-content/EN/TXT/?qid=1516647740078&amp;uri=CELEX:32013R1293</t>
  </si>
  <si>
    <t>REGULATION (EU) No 1293/2013 OF THE EUROPEAN PARLIAMENT AND OF THE COUNCIL of 11 December 2013 on the establishment of a Programme for the Environment and Climate Action (LIFE) and repealing Regulation (EC) No 614/2007</t>
  </si>
  <si>
    <t>http://www.lse.ac.uk/GranthamInstitute/wp-content/uploads/2018/02/EU-life-CELEX3A32013R12933AEN3ATXT.pdf|en</t>
  </si>
  <si>
    <t>http://www.lse.ac.uk/GranthamInstitute/wp-content/uploads/2018/02/EU-life-CELEX3A32013R12933AEN3ATXT.pdf</t>
  </si>
  <si>
    <t>A European Green Deal</t>
  </si>
  <si>
    <t>https://ec.europa.eu/info/strategy/priorities-2019-2024/european-green-deal_en|en</t>
  </si>
  <si>
    <t>https://ec.europa.eu/info/strategy/priorities-2019-2024/european-green-deal_en</t>
  </si>
  <si>
    <t>The European Green Deal</t>
  </si>
  <si>
    <t>https://eur-lex.europa.eu/legal-content/EN/TXT/?qid=1576150542719&amp;uri=COM%3A2019%3A640%3AFIN|en</t>
  </si>
  <si>
    <t>https://eur-lex.europa.eu/legal-content/EN/TXT/?qid=1576150542719&amp;uri=COM%3A2019%3A640%3AFIN</t>
  </si>
  <si>
    <t>Regulation (EU) 2020/852 of the European Parliament and of the Council of 18 June 2020 on the establishment of a framework to facilitate sustainable investment, and amending Regulation (EU) 2019/2088</t>
  </si>
  <si>
    <t>https://eur-lex.europa.eu/legal-content/EN/TXT/?uri=celex:32020R0852|en</t>
  </si>
  <si>
    <t>https://eur-lex.europa.eu/legal-content/EN/TXT/?uri=celex:32020R0852</t>
  </si>
  <si>
    <t>Commission Delegated Regulation (EU) 2021/2178 of 6 July 2021 supplementing Regulation (EU) 2020/852 of the European Parliament and of the Council by specifying the content and presentation of information to be disclosed by undertakings subject to Articles 19a or 29a of Directive 2013/34/EU concerning environmentally sustainable economic activities, and specifying the methodology to comply with that disclosure obligation</t>
  </si>
  <si>
    <t>https://eur-lex.europa.eu/legal-content/EN/TXT/?uri=uriserv:OJ.L_.2021.443.01.0009.01.ENG|en</t>
  </si>
  <si>
    <t>https://eur-lex.europa.eu/legal-content/EN/TXT/?uri=uriserv:OJ.L_.2021.443.01.0009.01.ENG</t>
  </si>
  <si>
    <t>Commission Delegated Regulation (EU) 2021/2139 of 4 June 2021 supplementing Regulation (EU) 2020/852 of the European Parliament and of the Council by establishing the technical screening criteria for determining the conditions under which an economic activity qualifies as contributing substantially to climate change mitigation or climate change adaptation and for determining whether that economic activity causes no significant harm to any of the other environmental objectives</t>
  </si>
  <si>
    <t>https://eur-lex.europa.eu/legal-content/EN/TXT/?uri=CELEX:32021R2139&amp;qid=1639037016630|en</t>
  </si>
  <si>
    <t>https://eur-lex.europa.eu/legal-content/EN/TXT/?uri=CELEX:32021R2139&amp;qid=1639037016630</t>
  </si>
  <si>
    <t>COMMISSION DELEGATED REGULATION (EU) amending Delegated Regulation (EU) 2021/2139 as regards economic activities in certain energy sectors and Delegated Regulation (EU) 2021/2178 as regards specific public disclosures for those economic activities</t>
  </si>
  <si>
    <t>https://ec.europa.eu/finance/docs/level-2-measures/taxonomy-regulation-delegated-act-2022-631_en.pdf|en</t>
  </si>
  <si>
    <t>https://ec.europa.eu/finance/docs/level-2-measures/taxonomy-regulation-delegated-act-2022-631_en.pdf</t>
  </si>
  <si>
    <t>Regulation (EU) 2019/2088 of the European Parliament and of the Council of 27 November 2019 on sustainability‐related disclosures in the financial services sector</t>
  </si>
  <si>
    <t>https://eur-lex.europa.eu/eli/reg/2019/2088/oj|en</t>
  </si>
  <si>
    <t>https://eur-lex.europa.eu/eli/reg/2019/2088/oj</t>
  </si>
  <si>
    <t>https://eur-lex.europa.eu/legal-content/EN/TXT/?uri=CELEX:32020R0852|en</t>
  </si>
  <si>
    <t>https://eur-lex.europa.eu/legal-content/EN/TXT/?uri=CELEX:32020R0852</t>
  </si>
  <si>
    <t>The EU budget powering the recovery plan for Europe</t>
  </si>
  <si>
    <t>https://eur-lex.europa.eu/legal-content/EN/TXT/?uri=COM%3A2020%3A442%3AFIN|en</t>
  </si>
  <si>
    <t>https://eur-lex.europa.eu/legal-content/EN/TXT/?uri=COM%3A2020%3A442%3AFIN</t>
  </si>
  <si>
    <t>Special meeting of the European Council (17, 18, 19, 20 and 21 July 2020) – Conclusions</t>
  </si>
  <si>
    <t>https://www.consilium.europa.eu/media/45109/210720-euco-final-conclusions-en.pdf|en</t>
  </si>
  <si>
    <t>https://www.consilium.europa.eu/media/45109/210720-euco-final-conclusions-en.pdf</t>
  </si>
  <si>
    <t>A recovery plan for Europe</t>
  </si>
  <si>
    <t>https://www.consilium.europa.eu/en/policies/eu-recovery-plan/|en</t>
  </si>
  <si>
    <t>https://www.consilium.europa.eu/en/policies/eu-recovery-plan/</t>
  </si>
  <si>
    <t>Regulation (EU) 2021/241 of the European Parliament and of the Council of 12 February 2021 establishing the Recovery and Resilience Facility</t>
  </si>
  <si>
    <t>https://eur-lex.europa.eu/legal-content/EN/TXT/?uri=CELEX%3A32021R0241&amp;qid=1616507861922|en</t>
  </si>
  <si>
    <t>https://eur-lex.europa.eu/legal-content/EN/TXT/?uri=CELEX%3A32021R0241&amp;qid=1616507861922</t>
  </si>
  <si>
    <t>A European Strategy for Low-Emission Mobility</t>
  </si>
  <si>
    <t>https://climate-laws.org/rails/active_storage/blobs/eyJfcmFpbHMiOnsibWVzc2FnZSI6IkJBaHBBdndNIiwiZXhwIjpudWxsLCJwdXIiOiJibG9iX2lkIn19--e6d187624e31d74b4ed213b44820c4bb9cd46938/stratlowcarbtranspEU.pdf|en</t>
  </si>
  <si>
    <t>https://climate-laws.org/rails/active_storage/blobs/eyJfcmFpbHMiOnsibWVzc2FnZSI6IkJBaHBBdndNIiwiZXhwIjpudWxsLCJwdXIiOiJibG9iX2lkIn19--e6d187624e31d74b4ed213b44820c4bb9cd46938/stratlowcarbtranspEU.pdf</t>
  </si>
  <si>
    <t>A European Strategy for Low-Emission Mobility: Communication</t>
  </si>
  <si>
    <t>https://eur-lex.europa.eu/legal-content/en/TXT/?uri=CELEX%3A52016DC0501|en</t>
  </si>
  <si>
    <t>https://eur-lex.europa.eu/legal-content/en/TXT/?uri=CELEX%3A52016DC0501</t>
  </si>
  <si>
    <t>Directive (EU) 2018/2001 of the European Parliament and of the Council of 11 December 2018 on the promotion of the use of energy from renewable sources</t>
  </si>
  <si>
    <t>https://eur-lex.europa.eu/legal-content/EN/TXT/?uri=CELEX%3A32018L2001|en</t>
  </si>
  <si>
    <t>https://eur-lex.europa.eu/legal-content/EN/TXT/?uri=CELEX%3A32018L2001</t>
  </si>
  <si>
    <t>Commission Delegated Regulation (EU) 2019/807 of 13 March 2019 supplementing Directive (EU) 2018/2001 of the European Parliament and of the Council as regards the determination of high indirect land-use change-risk feedstock for which a significant expansion of the production area into land with high carbon stock is observed and the certification of low indirect land-use change-risk biofuels, bioliquids and biomass fuels</t>
  </si>
  <si>
    <t>https://eur-lex.europa.eu/legal-content/EN/TXT/?uri=uriserv:OJ.L_.2019.133.01.0001.01.ENG&amp;toc=OJ:L:2019:133:TOC|en</t>
  </si>
  <si>
    <t>https://eur-lex.europa.eu/legal-content/EN/TXT/?uri=uriserv:OJ.L_.2019.133.01.0001.01.ENG&amp;toc=OJ:L:2019:133:TOC</t>
  </si>
  <si>
    <t>Many</t>
  </si>
  <si>
    <t>Action Plan: Financing Sustainable Growth</t>
  </si>
  <si>
    <t>https://eur-lex.europa.eu/legal-content/EN/TXT/?uri=CELEX:52018DC0097|en</t>
  </si>
  <si>
    <t>https://eur-lex.europa.eu/legal-content/EN/TXT/?uri=CELEX:52018DC0097</t>
  </si>
  <si>
    <t>Renewed sustainable finance strategy and implementation of the action plan on financing sustainable growth</t>
  </si>
  <si>
    <t>https://ec.europa.eu/info/publications/sustainable-finance-renewed-strategy_nl|en</t>
  </si>
  <si>
    <t>https://ec.europa.eu/info/publications/sustainable-finance-renewed-strategy_nl</t>
  </si>
  <si>
    <t>Global Gateway - website</t>
  </si>
  <si>
    <t>https://ec.europa.eu/info/strategy/priorities-2019-2024/stronger-europe-world/global-gateway_en|en</t>
  </si>
  <si>
    <t>https://ec.europa.eu/info/strategy/priorities-2019-2024/stronger-europe-world/global-gateway_en</t>
  </si>
  <si>
    <t>The Global Gateway</t>
  </si>
  <si>
    <t>https://ec.europa.eu/info/sites/default/files/joint_communication_global_gateway.pdf|en</t>
  </si>
  <si>
    <t>https://ec.europa.eu/info/sites/default/files/joint_communication_global_gateway.pdf</t>
  </si>
  <si>
    <t>Climate Change Act</t>
  </si>
  <si>
    <t>Finland</t>
  </si>
  <si>
    <t>FIN</t>
  </si>
  <si>
    <t>https://climate-laws.org/rails/active_storage/blobs/eyJfcmFpbHMiOnsibWVzc2FnZSI6IkJBaHBBaFVKIiwiZXhwIjpudWxsLCJwdXIiOiJibG9iX2lkIn19--c7954fbf25d682315d56861619ad2c0e4c824984/f|</t>
  </si>
  <si>
    <t>https://climate-laws.org/rails/active_storage/blobs/eyJfcmFpbHMiOnsibWVzc2FnZSI6IkJBaHBBaFVKIiwiZXhwIjpudWxsLCJwdXIiOiJibG9iX2lkIn19--c7954fbf25d682315d56861619ad2c0e4c824984/f</t>
  </si>
  <si>
    <t>http://www.ym.fi/en-US/The_environment/Legislation_and_instructions/Climate_change_legislation|</t>
  </si>
  <si>
    <t>http://www.ym.fi/en-US/The_environment/Legislation_and_instructions/Climate_change_legislation</t>
  </si>
  <si>
    <t>error 404</t>
  </si>
  <si>
    <t>Law on Air Traffic Trading</t>
  </si>
  <si>
    <t>http://www.lse.ac.uk/GranthamInstitute/wp-content/uploads/laws/1223.pdf|fi</t>
  </si>
  <si>
    <t>http://www.lse.ac.uk/GranthamInstitute/wp-content/uploads/laws/1223.pdf</t>
  </si>
  <si>
    <t>Act on Aviation Emissions Trading (including amendments up to 2015)</t>
  </si>
  <si>
    <t>https://climate-laws.org/rails/active_storage/blobs/eyJfcmFpbHMiOnsibWVzc2FnZSI6IkJBaHBBb1lLIiwiZXhwIjpudWxsLCJwdXIiOiJibG9iX2lkIn19--0d0f1c5d5b381956bb08a013b75483e979e88571/1223%20-%20EN%20translation.pdf|en</t>
  </si>
  <si>
    <t>https://climate-laws.org/rails/active_storage/blobs/eyJfcmFpbHMiOnsibWVzc2FnZSI6IkJBaHBBb1lLIiwiZXhwIjpudWxsLCJwdXIiOiJibG9iX2lkIn19--0d0f1c5d5b381956bb08a013b75483e979e88571/1223%20-%20EN%20translation.pdf</t>
  </si>
  <si>
    <t>https://www.finlex.fi/en/laki/kaannokset/2010/en20100034_20150037.pdf|en</t>
  </si>
  <si>
    <t>https://www.finlex.fi/en/laki/kaannokset/2010/en20100034_20150037.pdf</t>
  </si>
  <si>
    <t>Laki tulvariskien hallinnasta</t>
  </si>
  <si>
    <t>Flood Risk Management Act</t>
  </si>
  <si>
    <t>Finnish</t>
  </si>
  <si>
    <t>http://www.lse.ac.uk/GranthamInstitute/wp-content/uploads/laws/1224.pdf|fi</t>
  </si>
  <si>
    <t>http://www.lse.ac.uk/GranthamInstitute/wp-content/uploads/laws/1224.pdf</t>
  </si>
  <si>
    <t>https://climate-laws.org/rails/active_storage/blobs/eyJfcmFpbHMiOnsibWVzc2FnZSI6IkJBaHBBb2NLIiwiZXhwIjpudWxsLCJwdXIiOiJibG9iX2lkIn19--e23ae9cbfb453ec862ea5535ab281101acbd67c5/1224%20-%20EN%20translation.pdf|en</t>
  </si>
  <si>
    <t>https://climate-laws.org/rails/active_storage/blobs/eyJfcmFpbHMiOnsibWVzc2FnZSI6IkJBaHBBb2NLIiwiZXhwIjpudWxsLCJwdXIiOiJibG9iX2lkIn19--e23ae9cbfb453ec862ea5535ab281101acbd67c5/1224%20-%20EN%20translation.pdf</t>
  </si>
  <si>
    <t>Laki sähkön alkuperän varmentamisesta ja ilmoittamisesta</t>
  </si>
  <si>
    <t>Act on Verification and Notification of the Origin of Electricity</t>
  </si>
  <si>
    <t>http://www.lse.ac.uk/GranthamInstitute/wp-content/uploads/laws/1226.pdf|fi</t>
  </si>
  <si>
    <t>http://www.lse.ac.uk/GranthamInstitute/wp-content/uploads/laws/1226.pdf</t>
  </si>
  <si>
    <t>https://climate-laws.org/rails/active_storage/blobs/eyJfcmFpbHMiOnsibWVzc2FnZSI6IkJBaHBBb2dLIiwiZXhwIjpudWxsLCJwdXIiOiJibG9iX2lkIn19--209d650db9471daaa51ce0be5de557dbdb0abb00/1226%20-%20EN%20translation.pdf|en</t>
  </si>
  <si>
    <t>https://climate-laws.org/rails/active_storage/blobs/eyJfcmFpbHMiOnsibWVzc2FnZSI6IkJBaHBBb2dLIiwiZXhwIjpudWxsLCJwdXIiOiJibG9iX2lkIn19--209d650db9471daaa51ce0be5de557dbdb0abb00/1226%20-%20EN%20translation.pdf</t>
  </si>
  <si>
    <t>Maankäyttö- ja rakennuslaki</t>
  </si>
  <si>
    <t>http://www.lse.ac.uk/GranthamInstitute/wp-content/uploads/laws/1227.pdf|fi</t>
  </si>
  <si>
    <t>http://www.lse.ac.uk/GranthamInstitute/wp-content/uploads/laws/1227.pdf</t>
  </si>
  <si>
    <t>Land Use and Building Act (including 2003 amendment)</t>
  </si>
  <si>
    <t>https://climate-laws.org/rails/active_storage/blobs/eyJfcmFpbHMiOnsibWVzc2FnZSI6IkJBaHBBb2tLIiwiZXhwIjpudWxsLCJwdXIiOiJibG9iX2lkIn19--42ef35ba0fdd12aed153a8aeeaca7edd8705eb45/1227%20-%20EN%20translation.pdf|en</t>
  </si>
  <si>
    <t>https://climate-laws.org/rails/active_storage/blobs/eyJfcmFpbHMiOnsibWVzc2FnZSI6IkJBaHBBb2tLIiwiZXhwIjpudWxsLCJwdXIiOiJibG9iX2lkIn19--42ef35ba0fdd12aed153a8aeeaca7edd8705eb45/1227%20-%20EN%20translation.pdf</t>
  </si>
  <si>
    <t>Talousarvioesityksen sisältö</t>
  </si>
  <si>
    <t>https://budjetti.vm.fi/indox/index.jsp|fi</t>
  </si>
  <si>
    <t>https://budjetti.vm.fi/indox/index.jsp</t>
  </si>
  <si>
    <t>suggest removing</t>
  </si>
  <si>
    <t>Entries to the meeting minutes, Government’s fourth supplementary budget</t>
  </si>
  <si>
    <t>https://climate-laws.org/rails/active_storage/blobs/eyJfcmFpbHMiOnsibWVzc2FnZSI6IkJBaHBBa3NNIiwiZXhwIjpudWxsLCJwdXIiOiJibG9iX2lkIn19--d0968e03fdb340a7a398876c7084962fd6f8d414/Liite%20LTAE%20lis%C3%A4p%C3%B6yt%C3%A4kirjamerkinn%C3%A4t_EN.pdf|en</t>
  </si>
  <si>
    <t>https://climate-laws.org/rails/active_storage/blobs/eyJfcmFpbHMiOnsibWVzc2FnZSI6IkJBaHBBa3NNIiwiZXhwIjpudWxsLCJwdXIiOiJibG9iX2lkIn19--d0968e03fdb340a7a398876c7084962fd6f8d414/Liite%20LTAE%20lis%C3%A4p%C3%B6yt%C3%A4kirjamerkinn%C3%A4t_EN.pdf</t>
  </si>
  <si>
    <t>Finland’s recovery and resilience plan</t>
  </si>
  <si>
    <t>https://ec.europa.eu/info/business-economy-euro/recovery-coronavirus/recovery-and-resilience-facility/finlands-recovery-and-resilience-plan_en|en</t>
  </si>
  <si>
    <t>https://ec.europa.eu/info/business-economy-euro/recovery-coronavirus/recovery-and-resilience-facility/finlands-recovery-and-resilience-plan_en</t>
  </si>
  <si>
    <t>Proposal for a Council Implementing Decision on the approval of the assessment of the recovery and resilience plan of Finland and Annex</t>
  </si>
  <si>
    <t>https://ec.europa.eu/info/publications/proposal-council-implementing-decision-approval-assessment-recovery-and-resilience-plan-finland-and-annex_en|en</t>
  </si>
  <si>
    <t>https://ec.europa.eu/info/publications/proposal-council-implementing-decision-approval-assessment-recovery-and-resilience-plan-finland-and-annex_en</t>
  </si>
  <si>
    <t>Suomen kestävän kasvun ohjelma : Elpymis- ja palautumissuunnitelma</t>
  </si>
  <si>
    <t>https://julkaisut.valtioneuvosto.fi/handle/10024/163176|fi</t>
  </si>
  <si>
    <t>https://julkaisut.valtioneuvosto.fi/handle/10024/163176</t>
  </si>
  <si>
    <t>Plan Climat</t>
  </si>
  <si>
    <t>https://climate-laws.org/rails/active_storage/blobs/eyJfcmFpbHMiOnsibWVzc2FnZSI6IkJBaHBBbmdJIiwiZXhwIjpudWxsLCJwdXIiOiJibG9iX2lkIn19--5a4a7054920d76c10f157188368c9b4899dc8fa5/f|fr</t>
  </si>
  <si>
    <t>https://climate-laws.org/rails/active_storage/blobs/eyJfcmFpbHMiOnsibWVzc2FnZSI6IkJBaHBBbmdJIiwiZXhwIjpudWxsLCJwdXIiOiJibG9iX2lkIn19--5a4a7054920d76c10f157188368c9b4899dc8fa5/f</t>
  </si>
  <si>
    <t>Climate Plan</t>
  </si>
  <si>
    <t>https://climate-laws.org/rails/active_storage/blobs/eyJfcmFpbHMiOnsibWVzc2FnZSI6IkJBaHBBb29LIiwiZXhwIjpudWxsLCJwdXIiOiJibG9iX2lkIn19--05adc3df453ec3c6a100dfe7278578adaa76f66a/1229%20-%20EN%20translation.pdf|en</t>
  </si>
  <si>
    <t>https://climate-laws.org/rails/active_storage/blobs/eyJfcmFpbHMiOnsibWVzc2FnZSI6IkJBaHBBb29LIiwiZXhwIjpudWxsLCJwdXIiOiJibG9iX2lkIn19--05adc3df453ec3c6a100dfe7278578adaa76f66a/1229%20-%20EN%20translation.pdf</t>
  </si>
  <si>
    <t>National Energy Plan 2008-2021</t>
  </si>
  <si>
    <t>Full text - 2008-2021 plan (old)|https://climate-laws.org/rails/active_storage/blobs/eyJfcmFpbHMiOnsibWVzc2FnZSI6IkJBaHBBcEVJIiwiZXhwIjpudWxsLCJwdXIiOiJibG9iX2lkIn19--8cff2b7cb1c14232beae785bc03c90cbf3627506/f|es;New plan|https://climate-laws.org/rails/active_storage/blobs/eyJfcmFpbHMiOnsibWVzc2FnZSI6IkJBaHBBb0FLIiwiZXhwIjpudWxsLCJwdXIiOiJibG9iX2lkIn19--a10892e8c88b573e48f7133587cf1f2215dae7bc/1130%20new%20plan.pdf|es</t>
  </si>
  <si>
    <t>National Policy of Sustainable Production and Consumption 2018-2030</t>
  </si>
  <si>
    <t>Agriculture;Tourism</t>
  </si>
  <si>
    <t>03/05/2018|Law passed</t>
  </si>
  <si>
    <t>Full text - policy|https://climate-laws.org/rails/active_storage/blobs/eyJfcmFpbHMiOnsibWVzc2FnZSI6IkJBaHBBdklGIiwiZXhwIjpudWxsLCJwdXIiOiJibG9iX2lkIn19--63f8fb1e2503f77be0a47fce99825aff44876cbf/f|;Full text - decree|https://climate-laws.org/rails/active_storage/blobs/eyJfcmFpbHMiOnsibWVzc2FnZSI6IkJBaHBBdk1GIiwiZXhwIjpudWxsLCJwdXIiOiJibG9iX2lkIn19--e0cd532446a425be46919aedf424793349e620cc/f|;Online version of policy full text|http://www.digeca.go.cr/sites/default/files/documentos/politica_nacional_de_produccion_y_consumo_sostenibles.pdf|</t>
  </si>
  <si>
    <t>Law no 9518 on incentives and promotion of electric transportation and application decrees 41092 and 42489</t>
  </si>
  <si>
    <t>14/12/2017|Law passed||</t>
  </si>
  <si>
    <t>Full text|https://climate-laws.org/rails/active_storage/blobs/eyJfcmFpbHMiOnsibWVzc2FnZSI6IkJBaHBBdXdGIiwiZXhwIjpudWxsLCJwdXIiOiJibG9iX2lkIn19--5d5948869f89b0caed759c08b5763599571ec2cc/f|;Full text|http://www.pgrweb.go.cr/scij/Busqueda/Normativa/Normas/nrm_texto_completo.aspx?param1=NRTC&amp;nValor1=1&amp;nValor2=85810&amp;nValor3=111104&amp;strTipM=TC|;Link to decree 42489 on official website|http://www.pgrweb.go.cr/scij/Busqueda/Normativa/Normas/nrm_texto_completo.aspx?param1=NRTC&amp;nValor1=1&amp;nValor2=92387&amp;nValor3=122303&amp;strTipM=TC|;Link to decree 41092 on official website|http://www.pgrweb.go.cr/scij/Busqueda/Normativa/Normas/nrm_texto_completo.aspx?nValor1=1&amp;nValor2=86581|</t>
  </si>
  <si>
    <t>Decree No. 41122 - 'formalises the Program Carbon Neutral Country 2.0'</t>
  </si>
  <si>
    <t>Industry;Institutions / Administrative Arrangements;Mitigation</t>
  </si>
  <si>
    <t>28/05/2018|Law passed||</t>
  </si>
  <si>
    <t>Full text (PDF)|https://climate-laws.org/rails/active_storage/blobs/eyJfcmFpbHMiOnsibWVzc2FnZSI6IkJBaHBBb0VGIiwiZXhwIjpudWxsLCJwdXIiOiJibG9iX2lkIn19--8cfa03fbcaf659478091ab53b3662a712cd3a151/f|es;Link to official website detailing the Program|https://cambioclimatico.go.cr/metas/descarbonizacion/programa-pais-carbono-neutral-version-2-0/|es</t>
  </si>
  <si>
    <t>Decarbonisation plan</t>
  </si>
  <si>
    <t>Agriculture;Buildings;Economy-wide;Energy;Industry;LULUCF;Transportation</t>
  </si>
  <si>
    <t>25/12/2018|Plan adopted</t>
  </si>
  <si>
    <t>Link to full text (PDF)|https://cambioclimatico.go.cr/wp-content/uploads/2019/02/PLAN.pdf|es;Link to English translation (PDF)|https://www.scribd.com/document/400404187/Decarbonization-Plan-Costa-Rica|en</t>
  </si>
  <si>
    <t>Inter-institutional action plan to promote the use of hydrogen in the transport sector</t>
  </si>
  <si>
    <t>01/11/2018|Approved||</t>
  </si>
  <si>
    <t>Link to full text (PDF)|https://sepse.go.cr/documentos/Plan_de_accion_institucional_para_hidrogeno.pdf|es;Link to decree 35991 on official website|http://www.pgrweb.go.cr/scij/Busqueda/Normativa/Normas/nrm_texto_completo.aspx?nValor1=1&amp;nValor2=68011|es</t>
  </si>
  <si>
    <t>Law on Biofuels for Transport</t>
  </si>
  <si>
    <t>22/05/2009|Law passed||;01/11/2018|Last amended||</t>
  </si>
  <si>
    <t>Full text|https://climate-laws.org/rails/active_storage/blobs/eyJfcmFpbHMiOnsibWVzc2FnZSI6IkJBaHBBazhIIiwiZXhwIjpudWxsLCJwdXIiOiJibG9iX2lkIn19--39b8121074721df4190538ae8ff4a1cb1550a406/f|hr;Link to official website with latest version|https://www.zakon.hr/z/189/Zakon-o-biogorivima-za-prijevoz|hr</t>
  </si>
  <si>
    <t>Integrated National Energy and Climate Plan for the Republic of Croatia</t>
  </si>
  <si>
    <t>Standards, obligations and norms|Regulation;Subsidies|Economic;Capacity building|Governance;Processes, plans and strategies|Governance;Research &amp; Development, knowledge generation|Information</t>
  </si>
  <si>
    <t>Flood;Drought;Soil Erosion</t>
  </si>
  <si>
    <t>Energy Supply;Renewables;Biofuels;Subsidies;Health;Biogas;Tax Incentives;Tax</t>
  </si>
  <si>
    <t>Agriculture;Buildings;Economy-wide;Energy;Waste</t>
  </si>
  <si>
    <t>24/12/2019|Released||</t>
  </si>
  <si>
    <t>Full text (PDF)|https://ec.europa.eu/energy/sites/ener/files/documents/hr_final_necp_main_en.pdf|en;Original version (PDF)|https://ec.europa.eu/energy/sites/ener/files/documents/hr_final_necp_main_hr.pdf|hr</t>
  </si>
  <si>
    <t>Croatia’s recovery and resilience plan</t>
  </si>
  <si>
    <t>EV;covid19;Rail;Energy Efficiency</t>
  </si>
  <si>
    <t>01/05/2021|Approved||</t>
  </si>
  <si>
    <t>EC page|https://ec.europa.eu/info/business-economy-euro/recovery-coronavirus/recovery-and-resilience-facility/croatias-recovery-and-resilience-plan_en#croatias-recovery-and-resilience-plan|en;Full text|https://ec.europa.eu/info/files/recovery-and-resilience-plan-croatia_en|hr;Dedicated website|https://planoporavka.gov.hr|hr;Factsheet|https://ec.europa.eu/info/files/factsheet-croatias-recovery-and-resilience-plan_en|en;Council implementing decision and annex|https://www.consilium.europa.eu/en/documents-publications/public-register/public-register-search/results/?WordsInSubject=&amp;WordsInText=&amp;DocumentNumber=10687%2F21&amp;InterinstitutionalFiles=&amp;DocumentDateFrom=&amp;DocumentDateTo=&amp;MeetingDateFrom=&amp;MeetingDateTo=&amp;DocumentLanguage=EN&amp;OrderBy=DOCUMENT_DATE+DESC&amp;ctl00%24ctl00%24cpMain%24cpMain%24btnSubmit=|en</t>
  </si>
  <si>
    <t>Act No. 75 on the Civil Defence and Decree-Law No. 170 on the System of measures of Civil Defence (Disaster-management as response to frequent extreme events)</t>
  </si>
  <si>
    <t>Capacity building|Governance;Institutional mandates|Governance;Processes, plans and strategies|Governance;Research &amp; Development, knowledge generation|Information</t>
  </si>
  <si>
    <t>Disaster Risk Management (Drm);Economy-wide;Transportation</t>
  </si>
  <si>
    <t>21/12/1994|Law passed||;19/05/1997|Last amended||</t>
  </si>
  <si>
    <t>Link to law 75 on official website|http://www.parlamentocubano.gob.cu/index.php/documento/ley-de-la-defensa-nacional/|es;Full text of Decree Law 170 (PDF)|https://climate-laws.org/rails/active_storage/blobs/eyJfcmFpbHMiOnsibWVzc2FnZSI6IkJBaHBBbW9NIiwiZXhwIjpudWxsLCJwdXIiOiJibG9iX2lkIn19--bda483175a199dedc2476d73b4a91172f7c936bc/cub82158.pdf|es</t>
  </si>
  <si>
    <t>Tarea Vida plan to face climate change</t>
  </si>
  <si>
    <t>Standards, obligations and norms|Regulation;Zoning &amp; Spatial Planning|Regulation;Research &amp; Development, knowledge generation|Information</t>
  </si>
  <si>
    <t>Programme;Plan</t>
  </si>
  <si>
    <t>Drought;Flooding;Cyclones;Tsunamis;Storms;Hurricanes;Changes In Soil Quality;Soil Erosion;Sea Level Rise;Changes In Groundwater;Changes In Average Precipitation;Ocean Acidification</t>
  </si>
  <si>
    <t>Tourism;Water</t>
  </si>
  <si>
    <t>30/04/2017|Law passed||</t>
  </si>
  <si>
    <t>Official summary (PDF)|https://climate-laws.org/rails/active_storage/blobs/eyJfcmFpbHMiOnsibWVzc2FnZSI6IkJBaHBBcXdFIiwiZXhwIjpudWxsLCJwdXIiOiJibG9iX2lkIn19--3db0019152b7cb8512ba5a07aec475310face4d9/f|es;Ecured link|https://www.ecured.cu/Tarea_Vida|es</t>
  </si>
  <si>
    <t>Cyprus' recovery and resilience plan</t>
  </si>
  <si>
    <t>Subsidies|Economic;Tax incentives|Economic;Carbon pricing &amp; emissions trading|Economic;Processes, plans and strategies|Governance</t>
  </si>
  <si>
    <t>Renewables;EV;covid19;Cycling;Energy Efficiency;Public Transport;modal shift;active travel</t>
  </si>
  <si>
    <t>Economy-wide;Energy;Transport</t>
  </si>
  <si>
    <t>EC page|https://ec.europa.eu/info/business-economy-euro/recovery-coronavirus/recovery-and-resilience-facility/cyprus-recovery-and-resilience-plan_en#cyprus-recovery-and-resilience-plan|en;Council implementing decision and annex|https://www.consilium.europa.eu/en/documents-publications/public-register/public-register-search/results/?WordsInSubject=&amp;WordsInText=&amp;DocumentNumber=10686%2F21&amp;InterinstitutionalFiles=&amp;DocumentDateFrom=&amp;DocumentDateTo=&amp;MeetingDateFrom=&amp;MeetingDateTo=&amp;DocumentLanguage=EN&amp;OrderBy=DOCUMENT_DATE+DESC&amp;ctl00%24ctl00%24cpMain%24cpMain%24btnSubmit=|en;Factsheet|https://ec.europa.eu/info/files/factsheet-cypruss-recovery-and-resilience-plan_en|en;National website with documents|http://www.dgepcd.gov.cy/dgepcd/dgepcd.nsf/All/F40FB0CE906370CAC22586A4002C8BF7?OpenDocument|el;Full text (PDF)|http://www.cyprus-tomorrow.gov.cy/cypresidency/kyprostoavrio.nsf/all/B37B4D3AC1DB73B6C22586DA00421E05/$file/Cyprus%20RRP%20For%20Upload%2020052021.pdf?openelement|el</t>
  </si>
  <si>
    <t>State Environmental Policy (2012-2020)</t>
  </si>
  <si>
    <t>01/09/2012|Law passed</t>
  </si>
  <si>
    <t>full text|http://www.lse.ac.uk/GranthamInstitute/wp-content/uploads/laws/1142.pdf|;translation|https://climate-laws.org/rails/active_storage/blobs/eyJfcmFpbHMiOnsibWVzc2FnZSI6IkJBaHBBb0VLIiwiZXhwIjpudWxsLCJwdXIiOiJibG9iX2lkIn19--1058fbb6b883cc2ca7904ec80cc72419c15f2f18/1142%20-%20EN%20translation.pdf|en</t>
  </si>
  <si>
    <t>Climate Protection Policy, Government Resolution no 207</t>
  </si>
  <si>
    <t>Policy;Resolution</t>
  </si>
  <si>
    <t>Adaptation;Carbon Pricing;Energy Supply;Energy Demand;Redd+ And Lulucf;Transportation</t>
  </si>
  <si>
    <t>22/03/2017|Law passed||</t>
  </si>
  <si>
    <t>Full text|https://climate-laws.org/rails/active_storage/blobs/eyJfcmFpbHMiOnsibWVzc2FnZSI6IkJBaHBBaEFHIiwiZXhwIjpudWxsLCJwdXIiOiJibG9iX2lkIn19--ebfc9a389fd60d24d891b2f13876039718fca2c8/f|;Full text 2|https://climate-laws.org/rails/active_storage/blobs/eyJfcmFpbHMiOnsibWVzc2FnZSI6IkJBaHBBaEVHIiwiZXhwIjpudWxsLCJwdXIiOiJibG9iX2lkIn19--c3a8cc54f6f111cbdcd31145a9d820aec4e366fd/f|</t>
  </si>
  <si>
    <t>National Energy and Climate Plan of the Czech Republic</t>
  </si>
  <si>
    <t>Subsidies|Economic;Tax incentives|Economic;Capacity building|Governance;Processes, plans and strategies|Governance;Education, training and knowledge dissemination|Information;Research &amp; Development, knowledge generation|Information</t>
  </si>
  <si>
    <t>Flood;Drought;Storm;Windstorms;Landslides;Soil Erosion</t>
  </si>
  <si>
    <t>Biodiversity;Biofuels;Health;Biogas;Agriculture</t>
  </si>
  <si>
    <t>Agriculture;Buildings;Economy-wide;Energy</t>
  </si>
  <si>
    <t>01/11/2019|Adopted||</t>
  </si>
  <si>
    <t>Full text (PDF)|https://ec.europa.eu/energy/sites/ener/files/documents/cs_final_necp_main_en.pdf|en;Original version (PDF)|https://ec.europa.eu/energy/sites/ener/files/documents/cs_final_necp_main_cs.pdf|cs</t>
  </si>
  <si>
    <t>Czechia's recovery and resilience plan</t>
  </si>
  <si>
    <t>Renewables;EV;covid19;Cycling;rail;circular economy;Energy Efficiency</t>
  </si>
  <si>
    <t>EC page|https://ec.europa.eu/info/business-economy-euro/recovery-coronavirus/recovery-and-resilience-facility/czechias-recovery-and-resilience-plan_en#czechias-recovery-and-resilience-plan|en;Council implementing decision and annex|https://www.consilium.europa.eu/en/documents-publications/public-register/public-register-search/results/?WordsInSubject=&amp;WordsInText=&amp;DocumentNumber=11047%2F21&amp;InterinstitutionalFiles=&amp;DocumentDateFrom=&amp;DocumentDateTo=&amp;MeetingDateFrom=&amp;MeetingDateTo=&amp;DocumentLanguage=EN&amp;OrderBy=DOCUMENT_DATE+DESC&amp;ctl00%24ctl00%24cpMain%24cpMain%24btnSubmit=|en;National website|https://www.planobnovycr.cz|cs;Factsheet|https://ec.europa.eu/info/files/factsheet-czechias-recovery-and-resilience-plan_en|en</t>
  </si>
  <si>
    <t>Strategic Development Plan 2011-2030 (updated by the National Energy Seminar synthesis report)</t>
  </si>
  <si>
    <t>Floods;Landslides;Wildfires</t>
  </si>
  <si>
    <t>25/12/2011|Law passed||</t>
  </si>
  <si>
    <t>Full text|https://climate-laws.org/rails/active_storage/blobs/eyJfcmFpbHMiOnsibWVzc2FnZSI6IkJBaHBBaDRHIiwiZXhwIjpudWxsLCJwdXIiOiJibG9iX2lkIn19--d9811505585b4f8ee13c3f2acf3cd0c8580331f2/f|;Annex|http://www.lse.ac.uk/GranthamInstitute/wp-content/uploads/laws/3001_annex%20EN.pdf|en</t>
  </si>
  <si>
    <t>The Climate Act</t>
  </si>
  <si>
    <t>Paris Agreement;Unfccc</t>
  </si>
  <si>
    <t>26/06/2020|Law passed||</t>
  </si>
  <si>
    <t>Unofficial translation (PDF)|https://climate-laws.org/rails/active_storage/blobs/eyJfcmFpbHMiOnsibWVzc2FnZSI6IkJBaHBBa2tOIiwiZXhwIjpudWxsLCJwdXIiOiJibG9iX2lkIn19--986ba52e9615a9b07611410f3bd6287ac58e5570/Climate%20Act_Denmark%20-%20WEBTILG%C3%86NGELIG-A.pdf|en;Full Text |https://www.retsinformation.dk/eli/lta/2020/965|da</t>
  </si>
  <si>
    <t>Act 468/2009 on Sustainable Biofuels and the reduction of Greenhouse Gases, notably amended by Act 674/2011, Act 276/2012 and Act 51/2019</t>
  </si>
  <si>
    <t>Biofuels</t>
  </si>
  <si>
    <t>12/06/2009|Law passed||;13/11/2019|Last amended||</t>
  </si>
  <si>
    <t>Full text of Act 468/2009 (link to PDF)|https://www.retsinformation.dk/Forms/R0710.aspx?id=137888|da;2019 announcement on amendments (link to PDF)|https://www.retsinformation.dk/Forms/R0710.aspx?id=212795|da;2016 Amendment (link to PDF)|https://www.retsinformation.dk/Forms/R0710.aspx?id=185842|da</t>
  </si>
  <si>
    <t>Denmark's recovery and resilience plan</t>
  </si>
  <si>
    <t>Subsidies|Economic;Tax incentives|Economic;Carbon pricing &amp; emissions trading|Economic;Processes, plans and strategies|Governance;Research &amp; Development, knowledge generation|Information</t>
  </si>
  <si>
    <t>covid19;energy efficiency</t>
  </si>
  <si>
    <t>Economy-wide;Energy;Industry;Transport</t>
  </si>
  <si>
    <t>EC page|https://ec.europa.eu/info/business-economy-euro/recovery-coronavirus/recovery-and-resilience-facility/denmarks-recovery-and-resilience-plan_en#denmarks-recovery-and-resilience-plan|en;Council implementing decision and annex|https://www.consilium.europa.eu/en/documents-publications/public-register/public-register-search/results/?WordsInSubject=&amp;WordsInText=&amp;DocumentNumber=10154%2F21&amp;InterinstitutionalFiles=&amp;DocumentDateFrom=&amp;DocumentDateTo=&amp;MeetingDateFrom=&amp;MeetingDateTo=&amp;DocumentLanguage=EN&amp;OrderBy=DOCUMENT_DATE+DESC&amp;ctl00%24ctl00%24cpMain%24cpMain%24btnSubmit=|en;Factsheet|https://ec.europa.eu/info/files/factsheet-denmarks-recovery-and-resilience-plan_en|en;National website|https://fm.dk/nyheder/nyhedsarkiv/2021/april/dansk-genopretningsplan-skal-understoette-den-groenne-omstilling/|da</t>
  </si>
  <si>
    <t>Law 57-07 on Renewable Energy (supported by the 2008 Renewable Energy Regulating Decree No. 202-08)</t>
  </si>
  <si>
    <t>07/05/2007|Law passed||</t>
  </si>
  <si>
    <t>Full text (PDF)|https://climate-laws.org/rails/active_storage/blobs/eyJfcmFpbHMiOnsibWVzc2FnZSI6IkJBaHBBblVNIiwiZXhwIjpudWxsLCJwdXIiOiJibG9iX2lkIn19--48ba644621e961265f1577ade3f823fade6b81e8/Ley-57-07-sobre-Energia-Renovable.pdf|es;Regulation decree (PDF)|https://climate-laws.org/rails/active_storage/blobs/eyJfcmFpbHMiOnsibWVzc2FnZSI6IkJBaHBBbllNIiwiZXhwIjpudWxsLCJwdXIiOiJibG9iX2lkIn19--e6fc855a98bae9f1f1a4a1a34f627cc9a59b44e9/REGLAMENTO-LEY-57-07.pdf|es</t>
  </si>
  <si>
    <t>Law 112-00: Law on hydrocarbons</t>
  </si>
  <si>
    <t>29/11/2000|Law passed||</t>
  </si>
  <si>
    <t>full text|http://www.lse.ac.uk/GranthamInstitute/wp-content/uploads/laws/1167.pdf|es;regulation|https://climate-laws.org/rails/active_storage/blobs/eyJfcmFpbHMiOnsibWVzc2FnZSI6IkJBaHBBb0lLIiwiZXhwIjpudWxsLCJwdXIiOiJibG9iX2lkIn19--93417408deb735da6db17c698c27010a41a2fa6a/1167%20-%20regulation.pdf|es</t>
  </si>
  <si>
    <t>National Plan for Well Living (2013-2017)</t>
  </si>
  <si>
    <t>Economy-wide;Energy;Environment;LULUCF</t>
  </si>
  <si>
    <t>17/02/2013|Law passed||</t>
  </si>
  <si>
    <t>Full text - English summary|https://climate-laws.org/rails/active_storage/blobs/eyJfcmFpbHMiOnsibWVzc2FnZSI6IkJBaHBBbjBJIiwiZXhwIjpudWxsLCJwdXIiOiJibG9iX2lkIn19--fd50486767f78bb3011b53da727d3823c1d33e62/f|;new plan|https://climate-laws.org/rails/active_storage/blobs/eyJfcmFpbHMiOnsibWVzc2FnZSI6IkJBaHBBb01LIiwiZXhwIjpudWxsLCJwdXIiOiJibG9iX2lkIn19--85e3c6e16bf83f74cf006f1f16a0b00e762d0d62/1169%20-%20new%202017-2021%20plan.pdf|es;fullt text (pdf)|http://www.lse.ac.uk/GranthamInstitute/wp-content/uploads/laws/1169.pdf|es</t>
  </si>
  <si>
    <t>Programme RENOVA (Executive Decree No. 676; Executive Decree No. 741)</t>
  </si>
  <si>
    <t>14/05/2012|Law passed</t>
  </si>
  <si>
    <t>full text a|http://www.lse.ac.uk/GranthamInstitute/wp-content/uploads/laws/1171a.pdf|es;full text b|http://www.lse.ac.uk/GranthamInstitute/wp-content/uploads/laws/1171b.pdf|es;full text c|http://www.lse.ac.uk/GranthamInstitute/wp-content/uploads/laws/1171c.pdf|es;full text d|http://www.lse.ac.uk/GranthamInstitute/wp-content/uploads/laws/1171d.pdf|es</t>
  </si>
  <si>
    <t>Estonia’s 2030 National Energy and Climate Plan</t>
  </si>
  <si>
    <t>Standards, obligations and norms|Regulation;Subsidies|Economic;Tax incentives|Economic;Capacity building|Governance;Research &amp; Development, knowledge generation|Information</t>
  </si>
  <si>
    <t>Flood;Erosion;Changes In Air Quality;Biodiversity Loss;Forest Wildfires</t>
  </si>
  <si>
    <t>Buildings;Germany;Biodiversity;Biofuels;Health;Biogas;Agriculture</t>
  </si>
  <si>
    <t>Full text (PDF)|https://ec.europa.eu/energy/sites/ener/files/documents/ee_final_necp_main_en.pdf|en;Original version|https://ec.europa.eu/energy/sites/ener/files/documents/ee_final_necp_main_ee.pdf|et</t>
  </si>
  <si>
    <t>01/07/2021|Approved||</t>
  </si>
  <si>
    <t>EC page|https://ec.europa.eu/info/business-economy-euro/recovery-coronavirus/recovery-and-resilience-facility/estonias-recovery-and-resilience-plan_en|en;Proposal for Council Implementing Decision|https://ec.europa.eu/info/publications/proposal-council-implementing-decision-approval-assessment-recovery-and-resilience-plan-estonia-and-annex_en|en;National official website|https://rrf.ee|et;Factsheet|https://ec.europa.eu/info/sites/default/files/factsheet-estonia_en.pdf|en;Link to full text|https://ec.europa.eu/info/files/estonias-recovery-and-resilience-plan_en|et</t>
  </si>
  <si>
    <t>2030 framework for climate and energy policies (strategic document)</t>
  </si>
  <si>
    <t>Institutions / Administrative Arrangements;Carbon Pricing;Energy Supply;Energy Demand</t>
  </si>
  <si>
    <t>28/10/2014|Endorsement by the European Council||</t>
  </si>
  <si>
    <t>Full text|https://climate-laws.org/rails/active_storage/blobs/eyJfcmFpbHMiOnsibWVzc2FnZSI6IkJBaHBBaVFKIiwiZXhwIjpudWxsLCJwdXIiOiJibG9iX2lkIn19--c450d01ccd2887c0895c2f4ff66508d6324ffeb8/f|;Full text - part 2|https://climate-laws.org/rails/active_storage/blobs/eyJfcmFpbHMiOnsibWVzc2FnZSI6IkJBaHBBaVVKIiwiZXhwIjpudWxsLCJwdXIiOiJibG9iX2lkIn19--13690ef5c1b9188c08fad85dbcf56b8ea1f41143/f|</t>
  </si>
  <si>
    <t>Common Agricultural Policy (Regulations no 1307/2013, no 1308/2013, no 1305/2013, no 1306/2013, no 2020/2220 )</t>
  </si>
  <si>
    <t>Standards, obligations and norms|Regulation;Subsidies|Economic;Provision of climate funds|Direct Investment;Nature based solutions and ecosystem restoration|Direct Investment;Processes, plans and strategies|Governance</t>
  </si>
  <si>
    <t>Eu Regulation</t>
  </si>
  <si>
    <t>Institutions / Administrative Arrangements;Redd+ And Lulucf;Food Security</t>
  </si>
  <si>
    <t>Agriculture;LULUCF;Transportation</t>
  </si>
  <si>
    <t>20/12/2013|Law passed||;23/12/2020|Transition regulation adopted||;23/11/2021|2023-2027 farm policy adopted by Parliament||</t>
  </si>
  <si>
    <t>full text of 2014-2020 version (pdf)|http://www.lse.ac.uk/GranthamInstitute/wp-content/uploads/laws/1200.pdf|en;Official overview of 2014-2020 version|https://climate-laws.org/rails/active_storage/blobs/eyJfcmFpbHMiOnsibWVzc2FnZSI6IkJBaHBBb1VLIiwiZXhwIjpudWxsLCJwdXIiOiJibG9iX2lkIn19--b8e87f1a94d4f4b1faaf3a3faf9763d0fa405159/1200%20-%20overview.pdf|en;Link to 2020 transitory regulation|https://eur-lex.europa.eu/legal-content/EN/TXT/?uri=CELEX:32020R2220|en</t>
  </si>
  <si>
    <t>Revision of the EU Emission Trading System (EU ETS) (Directive 2009/29/EC amending Directive 2003/87/EC so as to improve and extend the greenhouse gas emission allowance trading scheme of the Community)</t>
  </si>
  <si>
    <t>Eu Directive</t>
  </si>
  <si>
    <t>Institutions / Administrative Arrangements;Carbon Pricing;Energy Supply;Redd+ And Lulucf;Transportation</t>
  </si>
  <si>
    <t>25/12/2009|Law passed||;25/12/2018|Last amendment||</t>
  </si>
  <si>
    <t>Link to official website (2003/87/EC)|https://eur-lex.europa.eu/legal-content/EN/TXT/?uri=CELEX%3A32003L0087|en;Link to official website (2009/29/EC)|https://eur-lex.europa.eu/legal-content/EN/TXT/?uri=CELEX:32009L0029|en;Link to official website (2018/410/EC)|https://eur-lex.europa.eu/legal-content/EN/TXT/HTML/?uri=CELEX:32018L0410&amp;from=PT|en</t>
  </si>
  <si>
    <t>Regulation No 1222/2009 on the labelling of tyres with respect to fuel efficiency and other essential parameters</t>
  </si>
  <si>
    <t>Education, training and knowledge dissemination|Information</t>
  </si>
  <si>
    <t>25/11/2009|Law passed</t>
  </si>
  <si>
    <t>link to document in all EU languages|http://eur-lex.europa.eu/legal-content/EN/TXT/?qid=1516634095318&amp;uri=CELEX:32009R1222|en;full text (pdf)|http://www.lse.ac.uk/GranthamInstitute/wp-content/uploads/2018/02/tyres-energy-eff-EU-CELEX3A32009R12223AEN3ATXT.pdf|en</t>
  </si>
  <si>
    <t>Commission Decisions 2009/300/EC and 2018/59 on the ecological criteria for the award of the Community Eco-label to televisions</t>
  </si>
  <si>
    <t>Eu Decision</t>
  </si>
  <si>
    <t>11/01/2018|Law amended;12/03/2019|Law passed</t>
  </si>
  <si>
    <t>link to document in all EU languages|http://eur-lex.europa.eu/legal-content/EN/TXT/?uri=CELEX%3A32009D0300|en;link to document in all EU languages|http://eur-lex.europa.eu/legal-content/EN/TXT/?uri=uriserv:OJ.L_.2018.010.01.0017.01.ENG&amp;toc=OJ:L:2018:010:TOC|en;full text (pdf)|http://www.lse.ac.uk/GranthamInstitute/wp-content/uploads/2018/02/tv-ecolabel-eu-CELEX3A32018D00593AEN3ATXT.pdf|en</t>
  </si>
  <si>
    <t>Regulation (EC) No 106/2008 on a Community energy-efficiency labelling programme for office equipment</t>
  </si>
  <si>
    <t>15/01/2008|Law passed</t>
  </si>
  <si>
    <t>link to pdf in all EU languages|http://eur-lex.europa.eu/legal-content/EN/TXT/?qid=1516634095318&amp;uri=CELEX:32008R0106|en;full text (pdf)|http://www.lse.ac.uk/GranthamInstitute/wp-content/uploads/2018/02/labelling-office-EU-CELEX3A32008R01063AEN3ATXT.pdf|en</t>
  </si>
  <si>
    <t>Decision No 1386/2013/EU on a General Union Environment Action Programme to 2020 'Living well, within the limits of our planet'</t>
  </si>
  <si>
    <t>Economy-wide;Health;Transportation</t>
  </si>
  <si>
    <t>20/11/2013|Law passed||</t>
  </si>
  <si>
    <t>link to pdf in all EU languages|http://eur-lex.europa.eu/legal-content/EN/TXT/?qid=1516647740078&amp;uri=CELEX:32013D1386|en;full text (pdf)|http://www.lse.ac.uk/GranthamInstitute/wp-content/uploads/2018/02/living-well-planet-EU-CELEX3A32013D13863AEN3ATXT.pdf|en</t>
  </si>
  <si>
    <t>Regulation (EU) No 1293/2013 on the establishment of a Programme for the Environment and Climate Action (LIFE) and repealing Regulation (EC) No 614/2007</t>
  </si>
  <si>
    <t>Economy-wide;Environment;Transportation</t>
  </si>
  <si>
    <t>11/12/2013|Law passed</t>
  </si>
  <si>
    <t>Link to pdf in all European languages|https://eur-lex.europa.eu/legal-content/EN/TXT/?qid=1516647740078&amp;uri=CELEX:32013R1293|en;full text (pdf)|http://www.lse.ac.uk/GranthamInstitute/wp-content/uploads/2018/02/EU-life-CELEX3A32013R12933AEN3ATXT.pdf|en</t>
  </si>
  <si>
    <t>European Green Deal;Green New Deal</t>
  </si>
  <si>
    <t>Buildings;Economy-wide;Energy;Industry;Transportation</t>
  </si>
  <si>
    <t>11/12/2019|Document published||</t>
  </si>
  <si>
    <t>Link to official webpage with all documents of interest|https://ec.europa.eu/info/strategy/priorities-2019-2024/european-green-deal_en|en;Link to main document in all EU languages|https://eur-lex.europa.eu/legal-content/EN/TXT/?qid=1576150542719&amp;uri=COM%3A2019%3A640%3AFIN|en</t>
  </si>
  <si>
    <t>Regulation (EU) 2020/852 on the establishment of a framework to facilitate sustainable investment, Commission Delegated Regulations (EU) 2021/2139 and 2021/2178 - EU Taxonomy</t>
  </si>
  <si>
    <t>Renewables;Gas;Nuclear;taxonomy</t>
  </si>
  <si>
    <t>18/06/2020|Published||;04/06/2021|Amended||;06/07/2021|Amended||;02/02/2022|Complementary Climate Delegated Act published||</t>
  </si>
  <si>
    <t>Link to regulation 2020/852 on Euralex|https://eur-lex.europa.eu/legal-content/EN/TXT/?uri=celex:32020R0852|en;Link to regulation 2021/2178 on Euralex|https://eur-lex.europa.eu/legal-content/EN/TXT/?uri=uriserv:OJ.L_.2021.443.01.0009.01.ENG|en;Link to regulation 2021/2139 on Euralex|https://eur-lex.europa.eu/legal-content/EN/TXT/?uri=CELEX:32021R2139&amp;qid=1639037016630|en;Link to 2022 Complementary Climate Delegated Act (EU taxonomy)|https://ec.europa.eu/finance/docs/level-2-measures/taxonomy-regulation-delegated-act-2022-631_en.pdf|en</t>
  </si>
  <si>
    <t>Regulation (EU) 2019/2088 on sustainability‐related disclosures in the financial services sector and amending regulation 2020/852 (taxonomy)</t>
  </si>
  <si>
    <t>Disclosure obligations|Regulation;Standards, obligations and norms|Regulation</t>
  </si>
  <si>
    <t>Finance</t>
  </si>
  <si>
    <t>27/11/2019|Published||;18/06/2020|Amended|Amended by Regulation (EU) 2020/852|</t>
  </si>
  <si>
    <t>Link to official website|https://eur-lex.europa.eu/eli/reg/2019/2088/oj|en;Link to regulation 2020/852|https://eur-lex.europa.eu/legal-content/EN/TXT/?uri=CELEX:32020R0852|en</t>
  </si>
  <si>
    <t>Recovery Plan for Europe (Regulation 2021/241 and Council Regulation 2020/2094)</t>
  </si>
  <si>
    <t>Provision of climate funds|Direct Investment;Institutional mandates|Governance;Processes, plans and strategies|Governance</t>
  </si>
  <si>
    <t>Eu Regulation;Plan</t>
  </si>
  <si>
    <t>Covid19;Stimulus Plan;Just Transition</t>
  </si>
  <si>
    <t>14/12/2020|Council Regulation 2020/2094 approved||;11/02/2021|Recovery Plan approved||</t>
  </si>
  <si>
    <t>27.5.20 budget proposal from the Commission|https://eur-lex.europa.eu/legal-content/EN/TXT/?uri=COM%3A2020%3A442%3AFIN|en;21.7.20 Conclusion of the European Council|https://www.consilium.europa.eu/media/45109/210720-euco-final-conclusions-en.pdf|en;Official webpage|https://www.consilium.europa.eu/en/policies/eu-recovery-plan/|en;Full text of the regulation on official webpage|https://eur-lex.europa.eu/legal-content/EN/TXT/?uri=CELEX%3A32021R0241&amp;qid=1616507861922|en</t>
  </si>
  <si>
    <t>A European Strategy for Low-Emission Mobility (Communication from the Commission to the European Parliament et al)</t>
  </si>
  <si>
    <t>Renewables;Ev;Public Transport</t>
  </si>
  <si>
    <t>20/07/2016|Released||</t>
  </si>
  <si>
    <t>Full text (PDF)|https://climate-laws.org/rails/active_storage/blobs/eyJfcmFpbHMiOnsibWVzc2FnZSI6IkJBaHBBdndNIiwiZXhwIjpudWxsLCJwdXIiOiJibG9iX2lkIn19--e6d187624e31d74b4ed213b44820c4bb9cd46938/stratlowcarbtranspEU.pdf|en;Full text on official website|https://eur-lex.europa.eu/legal-content/en/TXT/?uri=CELEX%3A52016DC0501|en</t>
  </si>
  <si>
    <t>Directive (EU) 2018/2001 on the promotion of the use of energy from renewable sources and Supplementing Regulation 2019/807</t>
  </si>
  <si>
    <t>Standards, obligations and norms|Regulation;Processes, plans and strategies|Governance;International cooperation|Governance;Education, training and knowledge dissemination|Information</t>
  </si>
  <si>
    <t>Renewables;Biofuels;Biomass;Carbon Sink;Land Use</t>
  </si>
  <si>
    <t>Buildings;Energy;LULUCF;Transportation</t>
  </si>
  <si>
    <t>11/12/2018|Approved||;13/03/2019|Supplementing Regulation approved||</t>
  </si>
  <si>
    <t>Link to full text on official website|https://eur-lex.europa.eu/legal-content/EN/TXT/?uri=CELEX%3A32018L2001|en;Link to Supplementing Directive|https://eur-lex.europa.eu/legal-content/EN/TXT/?uri=uriserv:OJ.L_.2019.133.01.0001.01.ENG&amp;toc=OJ:L:2019:133:TOC|en</t>
  </si>
  <si>
    <t>Action Plan on financing sustainable growth</t>
  </si>
  <si>
    <t>08/03/2018|Approved||</t>
  </si>
  <si>
    <t>Link to full text|https://eur-lex.europa.eu/legal-content/EN/TXT/?uri=CELEX:52018DC0097|en;Link to Sustainable Finance Strategy|https://ec.europa.eu/info/publications/sustainable-finance-renewed-strategy_nl|en</t>
  </si>
  <si>
    <t>Global Gateway</t>
  </si>
  <si>
    <t>Provision of climate funds|Direct Investment;International cooperation|Governance;Education, training and knowledge dissemination|Information;Research &amp; Development, knowledge generation|Information</t>
  </si>
  <si>
    <t>Infrastructure;Covid 19;Digital Transition;Green Bonds</t>
  </si>
  <si>
    <t>Economy-wide;Energy;Health;Transport</t>
  </si>
  <si>
    <t>01/12/2021|Approved||</t>
  </si>
  <si>
    <t>Link to official website|https://ec.europa.eu/info/strategy/priorities-2019-2024/stronger-europe-world/global-gateway_en|en;Link to joint communication|https://ec.europa.eu/info/sites/default/files/joint_communication_global_gateway.pdf|en</t>
  </si>
  <si>
    <t>Climate Change Act 609/2015</t>
  </si>
  <si>
    <t>Adaptation;Institutions / Administrative Arrangements;Carbon Pricing;Energy Demand;Transportation</t>
  </si>
  <si>
    <t>Agriculture;Economy-wide;Residential and Commercial;Transportation</t>
  </si>
  <si>
    <t>01/03/2015|Law passed||</t>
  </si>
  <si>
    <t>Full text|https://climate-laws.org/rails/active_storage/blobs/eyJfcmFpbHMiOnsibWVzc2FnZSI6IkJBaHBBaFVKIiwiZXhwIjpudWxsLCJwdXIiOiJibG9iX2lkIn19--c7954fbf25d682315d56861619ad2c0e4c824984/f|;English summary|http://www.ym.fi/en-US/The_environment/Legislation_and_instructions/Climate_change_legislation|</t>
  </si>
  <si>
    <t>Act on Aviation Emissions Trading (34/2010)</t>
  </si>
  <si>
    <t>Institutions / Administrative Arrangements;Transportation</t>
  </si>
  <si>
    <t>01/02/2010|Law passed||;25/12/2015|Amended||</t>
  </si>
  <si>
    <t>full text (pdf)|http://www.lse.ac.uk/GranthamInstitute/wp-content/uploads/laws/1223.pdf|fi;translation|https://climate-laws.org/rails/active_storage/blobs/eyJfcmFpbHMiOnsibWVzc2FnZSI6IkJBaHBBb1lLIiwiZXhwIjpudWxsLCJwdXIiOiJibG9iX2lkIn19--0d0f1c5d5b381956bb08a013b75483e979e88571/1223%20-%20EN%20translation.pdf|en;Full translated text with 2015 amendments|https://www.finlex.fi/en/laki/kaannokset/2010/en20100034_20150037.pdf|en</t>
  </si>
  <si>
    <t>Flood Risk Management Act (No. 620/2010)</t>
  </si>
  <si>
    <t>Zoning &amp; Spatial Planning|Regulation;Early warning systems|Direct Investment;Processes, plans and strategies|Governance</t>
  </si>
  <si>
    <t>30/06/2010|Law passed</t>
  </si>
  <si>
    <t>full text (pdf)|http://www.lse.ac.uk/GranthamInstitute/wp-content/uploads/laws/1224.pdf|fi;translation (pdf)|https://climate-laws.org/rails/active_storage/blobs/eyJfcmFpbHMiOnsibWVzc2FnZSI6IkJBaHBBb2NLIiwiZXhwIjpudWxsLCJwdXIiOiJibG9iX2lkIn19--e23ae9cbfb453ec862ea5535ab281101acbd67c5/1224%20-%20EN%20translation.pdf|en</t>
  </si>
  <si>
    <t>Act on Verification and Notification of Origin of Electricity (1129/2003)</t>
  </si>
  <si>
    <t>full text (pdf)|http://www.lse.ac.uk/GranthamInstitute/wp-content/uploads/laws/1226.pdf|fi;Unofficial translation (pdf)|https://climate-laws.org/rails/active_storage/blobs/eyJfcmFpbHMiOnsibWVzc2FnZSI6IkJBaHBBb2dLIiwiZXhwIjpudWxsLCJwdXIiOiJibG9iX2lkIn19--209d650db9471daaa51ce0be5de557dbdb0abb00/1226%20-%20EN%20translation.pdf|en</t>
  </si>
  <si>
    <t>Land use and Building Decree enacted under the Land use and Building Act (132/1999)</t>
  </si>
  <si>
    <t>Adaptation;Institutions / Administrative Arrangements;Energy Demand;Redd+ And Lulucf</t>
  </si>
  <si>
    <t>10/09/1999|Law passed</t>
  </si>
  <si>
    <t>full text (pdf)|http://www.lse.ac.uk/GranthamInstitute/wp-content/uploads/laws/1227.pdf|fi;Unofficial translation (pdf)|https://climate-laws.org/rails/active_storage/blobs/eyJfcmFpbHMiOnsibWVzc2FnZSI6IkJBaHBBb2tLIiwiZXhwIjpudWxsLCJwdXIiOiJibG9iX2lkIn19--42ef35ba0fdd12aed153a8aeeaca7edd8705eb45/1227%20-%20EN%20translation.pdf|en</t>
  </si>
  <si>
    <t>Fourth supplementary budget</t>
  </si>
  <si>
    <t>Provision of climate funds|Direct Investment;Nature based solutions and ecosystem restoration|Direct Investment</t>
  </si>
  <si>
    <t>Cycling;Walking;Climate Fund;Covid19;Stimulus Plan;Public Transport</t>
  </si>
  <si>
    <t>Economy-wide;LULUCF;Transportation</t>
  </si>
  <si>
    <t>01/07/2020|Entry into force||</t>
  </si>
  <si>
    <t>Link to Finnish budget website |https://budjetti.vm.fi/indox/index.jsp|fi;Entries to the meeting minutes - Senate discussions|https://climate-laws.org/rails/active_storage/blobs/eyJfcmFpbHMiOnsibWVzc2FnZSI6IkJBaHBBa3NNIiwiZXhwIjpudWxsLCJwdXIiOiJibG9iX2lkIn19--d0968e03fdb340a7a398876c7084962fd6f8d414/Liite%20LTAE%20lis%C3%A4p%C3%B6yt%C3%A4kirjamerkinn%C3%A4t_EN.pdf|en</t>
  </si>
  <si>
    <t>Finland’s recovery and resilience plan recovery and resilience plan</t>
  </si>
  <si>
    <t>heat;EV;Hydrogen;covid19</t>
  </si>
  <si>
    <t>EC page|https://ec.europa.eu/info/business-economy-euro/recovery-coronavirus/recovery-and-resilience-facility/finlands-recovery-and-resilience-plan_en|en;Proposal for council implementing decision|https://ec.europa.eu/info/publications/proposal-council-implementing-decision-approval-assessment-recovery-and-resilience-plan-finland-and-annex_en|en;National website|https://julkaisut.valtioneuvosto.fi/handle/10024/163176|fi</t>
  </si>
  <si>
    <t>Climate Plan (Policy framework)</t>
  </si>
  <si>
    <t>Floods;Droughts;Cyclones;Tsunamis;Storms;Hurricanes;Heat Waves And Heat Stress</t>
  </si>
  <si>
    <t>Full text|https://climate-laws.org/rails/active_storage/blobs/eyJfcmFpbHMiOnsibWVzc2FnZSI6IkJBaHBBbmdJIiwiZXhwIjpudWxsLCJwdXIiOiJibG9iX2lkIn19--5a4a7054920d76c10f157188368c9b4899dc8fa5/f|fr;Official translation|https://climate-laws.org/rails/active_storage/blobs/eyJfcmFpbHMiOnsibWVzc2FnZSI6IkJBaHBBb29LIiwiZXhwIjpudWxsLCJwdXIiOiJibG9iX2lkIn19--05adc3df453ec3c6a100dfe7278578adaa76f66a/1229%20-%20EN%20translation.pdf|en</t>
  </si>
  <si>
    <t>The Uganda Green Growth Development Strategy 2017/18 - 2030/31</t>
  </si>
  <si>
    <t>Uganda</t>
  </si>
  <si>
    <t>UGA</t>
  </si>
  <si>
    <t>https://www1.undp.org/content/dam/LECB/docs/pubs-reports/undp-ndc-sp-uganda-ggds-green-growth-dev-strategy-20171204.pdf.|en</t>
  </si>
  <si>
    <t>https://www1.undp.org/content/dam/LECB/docs/pubs-reports/undp-ndc-sp-uganda-ggds-green-growth-dev-strategy-20171204.pdf.</t>
  </si>
  <si>
    <t>Paula</t>
  </si>
  <si>
    <t>Uganda Green Growth Development Strategy</t>
  </si>
  <si>
    <t>http://www.npa.go.ug/about-npa/uganda-green-growth-development-strategy/|en</t>
  </si>
  <si>
    <t>http://www.npa.go.ug/about-npa/uganda-green-growth-development-strategy/</t>
  </si>
  <si>
    <t>ЗАКОН № 575/97-ВР</t>
  </si>
  <si>
    <t>Law No 575/97-BP</t>
  </si>
  <si>
    <t>Ukraine</t>
  </si>
  <si>
    <t>UKR</t>
  </si>
  <si>
    <t>Ukrainian</t>
  </si>
  <si>
    <t>https://climate-laws.org/rails/active_storage/blobs/eyJfcmFpbHMiOnsibWVzc2FnZSI6IkJBaHBBbXNJIiwiZXhwIjpudWxsLCJwdXIiOiJibG9iX2lkIn19--f2c386c9b7969be50ed45e4bdaa62c8b4b1d963f/f|</t>
  </si>
  <si>
    <t>https://climate-laws.org/rails/active_storage/blobs/eyJfcmFpbHMiOnsibWVzc2FnZSI6IkJBaHBBbXNJIiwiZXhwIjpudWxsLCJwdXIiOiJibG9iX2lkIn19--f2c386c9b7969be50ed45e4bdaa62c8b4b1d963f/f</t>
  </si>
  <si>
    <t>ро внесення змін до деяких законів України
щодо встановлення "зеленого" тарифу</t>
  </si>
  <si>
    <t>https://climate-laws.org/rails/active_storage/blobs/eyJfcmFpbHMiOnsibWVzc2FnZSI6IkJBaHBBbXdJIiwiZXhwIjpudWxsLCJwdXIiOiJibG9iX2lkIn19--0b4d4787a99a96717dd50772d2059d0755b423b6/f|</t>
  </si>
  <si>
    <t>https://climate-laws.org/rails/active_storage/blobs/eyJfcmFpbHMiOnsibWVzc2FnZSI6IkJBaHBBbXdJIiwiZXhwIjpudWxsLCJwdXIiOiJibG9iX2lkIn19--0b4d4787a99a96717dd50772d2059d0755b423b6/f</t>
  </si>
  <si>
    <t>внесення змін до Закону України "Про електроенергетику" щодо стимулювання виробництва електроенергії з альтернативних джерел енергії</t>
  </si>
  <si>
    <t>https://climate-laws.org/rails/active_storage/blobs/eyJfcmFpbHMiOnsibWVzc2FnZSI6IkJBaHBBbTBJIiwiZXhwIjpudWxsLCJwdXIiOiJibG9iX2lkIn19--e35105b9289f9cca01af2184dbdbbe2752590387/f|</t>
  </si>
  <si>
    <t>https://climate-laws.org/rails/active_storage/blobs/eyJfcmFpbHMiOnsibWVzc2FnZSI6IkJBaHBBbTBJIiwiZXhwIjpudWxsLCJwdXIiOiJibG9iX2lkIn19--e35105b9289f9cca01af2184dbdbbe2752590387/f</t>
  </si>
  <si>
    <t>внесення змін до деяких законів України щодо забезпечення конкурентних умов виробництва електричної енергії з альтернативних джерел енергії</t>
  </si>
  <si>
    <t>https://climate-laws.org/rails/active_storage/blobs/eyJfcmFpbHMiOnsibWVzc2FnZSI6IkJBaHBBdXdFIiwiZXhwIjpudWxsLCJwdXIiOiJibG9iX2lkIn19--58951fddcffb11fbbd2c053406fd1e3e6a28398b/f|uk</t>
  </si>
  <si>
    <t>https://climate-laws.org/rails/active_storage/blobs/eyJfcmFpbHMiOnsibWVzc2FnZSI6IkJBaHBBdXdFIiwiZXhwIjpudWxsLCJwdXIiOiJibG9iX2lkIn19--58951fddcffb11fbbd2c053406fd1e3e6a28398b/f</t>
  </si>
  <si>
    <t>Проект Закону про внесення змін до деяких законів України щодо удосконалення умов підтримки виробництва електричної енергії з альтернативних джерел енергії</t>
  </si>
  <si>
    <t>http://w1.c1.rada.gov.ua/pls/zweb2/webproc4_1?pf3511=69138|uk</t>
  </si>
  <si>
    <t>http://w1.c1.rada.gov.ua/pls/zweb2/webproc4_1?pf3511=69138</t>
  </si>
  <si>
    <t>text/html; charset=WINDOWS-1251</t>
  </si>
  <si>
    <t>Проект Закону про внесення змін до Закону України "Про Державний бюджет України на 2020 рік" (щодо реалізації положень статті 11 Закону України "Про ринок природного газу")</t>
  </si>
  <si>
    <t>http://w1.c1.rada.gov.ua/pls/zweb2/webproc4_1?pf3511=70002|uk</t>
  </si>
  <si>
    <t>http://w1.c1.rada.gov.ua/pls/zweb2/webproc4_1?pf3511=70002</t>
  </si>
  <si>
    <t>НАКАЗ Про затвердження Мінімальних вимог до енергетичної ефективності будівель</t>
  </si>
  <si>
    <t>https://zakon.rada.gov.ua/laws/show/z1257-20/print|uk</t>
  </si>
  <si>
    <t>https://zakon.rada.gov.ua/laws/show/z1257-20/print</t>
  </si>
  <si>
    <t>НАКАЗ 27.10.2020 № 261 Про затвердження Змін до Методики визначення енергетичної ефективності будівель</t>
  </si>
  <si>
    <t>https://zakon.rada.gov.ua/laws/show/z1254-20/print|uk</t>
  </si>
  <si>
    <t>https://zakon.rada.gov.ua/laws/show/z1254-20/print</t>
  </si>
  <si>
    <t xml:space="preserve">НАЦІОНАЛЬНА ЕКОНОМІЧНА СТРАТЕГІЯ  на період до 2030 року
</t>
  </si>
  <si>
    <t>https://climate-laws.org/rails/active_storage/blobs/eyJfcmFpbHMiOnsibWVzc2FnZSI6IkJBaHBBaVlPIiwiZXhwIjpudWxsLCJwdXIiOiJibG9iX2lkIn19--bace49b7c6174a8da5c0fcfeac0f6bae089042d6/60413e6481b69340709542.doc|uk</t>
  </si>
  <si>
    <t>https://climate-laws.org/rails/active_storage/blobs/eyJfcmFpbHMiOnsibWVzc2FnZSI6IkJBaHBBaVlPIiwiZXhwIjpudWxsLCJwdXIiOiJibG9iX2lkIn19--bace49b7c6174a8da5c0fcfeac0f6bae089042d6/60413e6481b69340709542.doc</t>
  </si>
  <si>
    <t>ПОСТАНОВА від 03 березня 2021 р. № 179 Про затвердження Національної економічної стратегії на період до 2030 року</t>
  </si>
  <si>
    <t>https://www.kmu.gov.ua/npas/pro-zatverdzhennya-nacionalnoyi-eko-a179|uk</t>
  </si>
  <si>
    <t>https://www.kmu.gov.ua/npas/pro-zatverdzhennya-nacionalnoyi-eko-a179</t>
  </si>
  <si>
    <t>Infrastructure Reform</t>
  </si>
  <si>
    <t>https://www.kmu.gov.ua/en/reformi/ekonomichne-zrostannya/reforma-infrastrukturi|en</t>
  </si>
  <si>
    <t>https://www.kmu.gov.ua/en/reformi/ekonomichne-zrostannya/reforma-infrastrukturi</t>
  </si>
  <si>
    <t>Government has approved a plan of measures to implement the National Transport Strategy of Ukraine until 2030, says Vladyslav Kryklii</t>
  </si>
  <si>
    <t>https://www.kmu.gov.ua/en/news/uryad-zatverdiv-plan-zahodiv-z-realizaciyi-nacionalnoyi-transportnoyi-strategiyi-ukrayini-do-2030-roku-vladislav-kriklij|en</t>
  </si>
  <si>
    <t>https://www.kmu.gov.ua/en/news/uryad-zatverdiv-plan-zahodiv-z-realizaciyi-nacionalnoyi-transportnoyi-strategiyi-ukrayini-do-2030-roku-vladislav-kriklij</t>
  </si>
  <si>
    <t>РОЗПОРЯДЖЕННЯ від 30 травня 2018 р. № 430-р Про схвалення Національної транспортної стратегії України
на період до 2030 року</t>
  </si>
  <si>
    <t>Order of May 30, 2018 № 430-R On approval of the National Transport Strategy of Ukraine for the period up to 2030</t>
  </si>
  <si>
    <t>https://climate-laws.org/rails/active_storage/blobs/eyJfcmFpbHMiOnsibWVzc2FnZSI6IkJBaHBBbVVPIiwiZXhwIjpudWxsLCJwdXIiOiJibG9iX2lkIn19--602468e511b2731e63fa7def8e58767acca1562e/%D0%9F%D1%80%D0%BE%20%D1%81%D1%85%D0%B2%D0%B0%D0%BB%D0%B5%D0%BD%D0%BD%D1%8F%20%D0%9D%D0%B0%D1%86%D1%96%D0%BE%D0%BD%D0%B0%D0%BB%D1%8C%D0%BD%D0%BE%D1%97%20%D1%82%D1%80%D0%B0...%20-%20%D0%B2%D1%96%D0%B4%2030.05.2018%20%E2%84%96%20430-%D1%80%20(%D0%A2%D0%B5%D0%BA%D1%81%D1%82%20%D0%B4%D0%BB%D1%8F%20%D0%B4%D1%80%D1%83%D0%BA%D1%83).pdf|uk</t>
  </si>
  <si>
    <t>https://climate-laws.org/rails/active_storage/blobs/eyJfcmFpbHMiOnsibWVzc2FnZSI6IkJBaHBBbVVPIiwiZXhwIjpudWxsLCJwdXIiOiJibG9iX2lkIn19--602468e511b2731e63fa7def8e58767acca1562e/%D0%9F%D1%80%D0%BE%20%D1%81%D1%85%D0%B2%D0%B0%D0%BB%D0%B5%D0%BD%D0%BD%D1%8F%20%D0%9D%D0%B0%D1%86%D1%96%D0%BE%D0%BD%D0%B0%D0%BB%D1%8C%D0%BD%D0%BE%D1%97%20%D1%82%D1%80%D0%B0...%20-%20%D0%B2%D1%96%D0%B4%2030.05.2018%20%E2%84%96%20430-%D1%80%20(%D0%A2%D0%B5%D0%BA%D1%81%D1%82%20%D0%B4%D0%BB%D1%8F%20%D0%B4%D1%80%D1%83%D0%BA%D1%83).pdf</t>
  </si>
  <si>
    <t>The National Adaptation Programme: Making the country resilient to a changing climate</t>
  </si>
  <si>
    <t>United Kingdom</t>
  </si>
  <si>
    <t>GBR</t>
  </si>
  <si>
    <t>https://climate-laws.org/rails/active_storage/blobs/eyJfcmFpbHMiOnsibWVzc2FnZSI6IkJBaHBBc2NJIiwiZXhwIjpudWxsLCJwdXIiOiJibG9iX2lkIn19--096244143d5dc825d9a4fd79a7135236fa4ffb1c/f|</t>
  </si>
  <si>
    <t>https://climate-laws.org/rails/active_storage/blobs/eyJfcmFpbHMiOnsibWVzc2FnZSI6IkJBaHBBc2NJIiwiZXhwIjpudWxsLCJwdXIiOiJibG9iX2lkIn19--096244143d5dc825d9a4fd79a7135236fa4ffb1c/f</t>
  </si>
  <si>
    <t>The National Adaptation Programme and the Third Strategy for Climate Adaptation Reporting: Making the country resilient to a changing climate</t>
  </si>
  <si>
    <t>https://climate-laws.org/rails/active_storage/blobs/eyJfcmFpbHMiOnsibWVzc2FnZSI6IkJBaHBBc2dJIiwiZXhwIjpudWxsLCJwdXIiOiJibG9iX2lkIn19--2f0f5cbbd51366fca367a72b9618803ef22d5ca8/f|</t>
  </si>
  <si>
    <t>https://climate-laws.org/rails/active_storage/blobs/eyJfcmFpbHMiOnsibWVzc2FnZSI6IkJBaHBBc2dJIiwiZXhwIjpudWxsLCJwdXIiOiJibG9iX2lkIn19--2f0f5cbbd51366fca367a72b9618803ef22d5ca8/f</t>
  </si>
  <si>
    <t>Smart Export Guarantee (SEG): earn money for exporting the renewable electricity you have generated</t>
  </si>
  <si>
    <t>https://www.gov.uk/feed-in-tariffs|en</t>
  </si>
  <si>
    <t>https://www.gov.uk/feed-in-tariffs</t>
  </si>
  <si>
    <t>About the Feed-in Tariff Scheme</t>
  </si>
  <si>
    <t>https://www.ofgem.gov.uk/environmental-programmes/fit|en</t>
  </si>
  <si>
    <t>https://www.ofgem.gov.uk/environmental-programmes/fit</t>
  </si>
  <si>
    <t>The Feed-in Tariffs (Amendment) (Coronavirus) Order 2020</t>
  </si>
  <si>
    <t>http://www.legislation.gov.uk/uksi/2020/375/introduction/made|en</t>
  </si>
  <si>
    <t>http://www.legislation.gov.uk/uksi/2020/375/introduction/made</t>
  </si>
  <si>
    <t>Climate Change Act 2008</t>
  </si>
  <si>
    <t>https://www.legislation.gov.uk/ukpga/2008/27/contents|en</t>
  </si>
  <si>
    <t>https://www.legislation.gov.uk/ukpga/2008/27/contents</t>
  </si>
  <si>
    <t>The Sixth Carbon Budget</t>
  </si>
  <si>
    <t>https://www.theccc.org.uk/publication/sixth-carbon-budget/|en</t>
  </si>
  <si>
    <t>https://www.theccc.org.uk/publication/sixth-carbon-budget/</t>
  </si>
  <si>
    <t>Energy Act 2013</t>
  </si>
  <si>
    <t>https://www.legislation.gov.uk/ukpga/2013/32/contents/enacted|en</t>
  </si>
  <si>
    <t>https://www.legislation.gov.uk/ukpga/2013/32/contents/enacted</t>
  </si>
  <si>
    <t>Contracts for Difference</t>
  </si>
  <si>
    <t>https://www.gov.uk/government/publications/contracts-for-difference/contract-for-difference|</t>
  </si>
  <si>
    <t>https://www.gov.uk/government/publications/contracts-for-difference/contract-for-difference</t>
  </si>
  <si>
    <t>The Climate Change Agreements (Administration and Eligible Facilities) (Amendment) Regulations 2020</t>
  </si>
  <si>
    <t>https://www.legislation.gov.uk/uksi/2020/958/contents/made|en</t>
  </si>
  <si>
    <t>https://www.legislation.gov.uk/uksi/2020/958/contents/made</t>
  </si>
  <si>
    <t>Climate Change Agreements</t>
  </si>
  <si>
    <t>https://www.gov.uk/guidance/climate-change-agreements--2|en</t>
  </si>
  <si>
    <t>https://www.gov.uk/guidance/climate-change-agreements--2</t>
  </si>
  <si>
    <t>Finance Act 2000 - Schedule 6: Climate Change Levy</t>
  </si>
  <si>
    <t>https://climate-laws.org/rails/active_storage/blobs/eyJfcmFpbHMiOnsibWVzc2FnZSI6IkJBaHBBbGNJIiwiZXhwIjpudWxsLCJwdXIiOiJibG9iX2lkIn19--f2ca9724165844ee827156d39481defa0ca427a9/f|</t>
  </si>
  <si>
    <t>https://climate-laws.org/rails/active_storage/blobs/eyJfcmFpbHMiOnsibWVzc2FnZSI6IkJBaHBBbGNJIiwiZXhwIjpudWxsLCJwdXIiOiJibG9iX2lkIn19--f2ca9724165844ee827156d39481defa0ca427a9/f</t>
  </si>
  <si>
    <t>The Climate Change Levy (Registration and Miscellaneous Provisions) Regulations 2001</t>
  </si>
  <si>
    <t>https://climate-laws.org/rails/active_storage/blobs/eyJfcmFpbHMiOnsibWVzc2FnZSI6IkJBaHBBbGdJIiwiZXhwIjpudWxsLCJwdXIiOiJibG9iX2lkIn19--abc45229948a7e85004f685351f56a30b97ddd56/f|</t>
  </si>
  <si>
    <t>https://climate-laws.org/rails/active_storage/blobs/eyJfcmFpbHMiOnsibWVzc2FnZSI6IkJBaHBBbGdJIiwiZXhwIjpudWxsLCJwdXIiOiJibG9iX2lkIn19--abc45229948a7e85004f685351f56a30b97ddd56/f</t>
  </si>
  <si>
    <t>Energy Act 2016 - Chapter 20</t>
  </si>
  <si>
    <t>https://climate-laws.org/rails/active_storage/blobs/eyJfcmFpbHMiOnsibWVzc2FnZSI6IkJBaHBBZ0VJIiwiZXhwIjpudWxsLCJwdXIiOiJibG9iX2lkIn19--5dd3b935d04997695ecd47cda29a466eca1e522f/f|</t>
  </si>
  <si>
    <t>https://climate-laws.org/rails/active_storage/blobs/eyJfcmFpbHMiOnsibWVzc2FnZSI6IkJBaHBBZ0VJIiwiZXhwIjpudWxsLCJwdXIiOiJibG9iX2lkIn19--5dd3b935d04997695ecd47cda29a466eca1e522f/f</t>
  </si>
  <si>
    <t>Revised Oil &amp; Gas Authority Strategy comes into force</t>
  </si>
  <si>
    <t>https://www.ogauthority.co.uk/news-publications/news/2021/revised-oga-strategy-comes-into-force/|en</t>
  </si>
  <si>
    <t>https://www.ogauthority.co.uk/news-publications/news/2021/revised-oga-strategy-comes-into-force/</t>
  </si>
  <si>
    <t>Cycling and Walking Investment Strategy</t>
  </si>
  <si>
    <t>https://climate-laws.org/rails/active_storage/blobs/eyJfcmFpbHMiOnsibWVzc2FnZSI6IkJBaHBBaTRNIiwiZXhwIjpudWxsLCJwdXIiOiJibG9iX2lkIn19--dd061ead25f2900bf67939ad9e61b71a6e1aa58c/cycling-walking-investment-strategy.pdf|en</t>
  </si>
  <si>
    <t>https://climate-laws.org/rails/active_storage/blobs/eyJfcmFpbHMiOnsibWVzc2FnZSI6IkJBaHBBaTRNIiwiZXhwIjpudWxsLCJwdXIiOiJibG9iX2lkIn19--dd061ead25f2900bf67939ad9e61b71a6e1aa58c/cycling-walking-investment-strategy.pdf</t>
  </si>
  <si>
    <t>£2 billion package to create new era for cycling and walking</t>
  </si>
  <si>
    <t>https://www.gov.uk/government/news/2-billion-package-to-create-new-era-for-cycling-and-walking|en</t>
  </si>
  <si>
    <t>https://www.gov.uk/government/news/2-billion-package-to-create-new-era-for-cycling-and-walking</t>
  </si>
  <si>
    <t>Gear Change: A bold vision for cycling and walking</t>
  </si>
  <si>
    <t>https://climate-laws.org/rails/active_storage/blobs/eyJfcmFpbHMiOnsibWVzc2FnZSI6IkJBaHBBa29NIiwiZXhwIjpudWxsLCJwdXIiOiJibG9iX2lkIn19--2e6c4899b2ce6e7b9b7f24c03ce9c9e5a05fa0dd/gear-change-a-bold-vision-for-cycling-and-walking.pdf|en</t>
  </si>
  <si>
    <t>https://climate-laws.org/rails/active_storage/blobs/eyJfcmFpbHMiOnsibWVzc2FnZSI6IkJBaHBBa29NIiwiZXhwIjpudWxsLCJwdXIiOiJibG9iX2lkIn19--2e6c4899b2ce6e7b9b7f24c03ce9c9e5a05fa0dd/gear-change-a-bold-vision-for-cycling-and-walking.pdf</t>
  </si>
  <si>
    <t>PM kickstarts £2bn cycling and walking revolution</t>
  </si>
  <si>
    <t>https://www.gov.uk/government/news/pm-kickstarts-2bn-cycling-and-walking-revolution|en</t>
  </si>
  <si>
    <t>https://www.gov.uk/government/news/pm-kickstarts-2bn-cycling-and-walking-revolution</t>
  </si>
  <si>
    <t>Infrastructure Act 2015</t>
  </si>
  <si>
    <t>https://www.legislation.gov.uk/ukpga/2015/7/contents/enacted|en</t>
  </si>
  <si>
    <t>https://www.legislation.gov.uk/ukpga/2015/7/contents/enacted</t>
  </si>
  <si>
    <t>Infrastructure Act 2015 - Chapter 7</t>
  </si>
  <si>
    <t>https://climate-laws.org/rails/active_storage/blobs/eyJfcmFpbHMiOnsibWVzc2FnZSI6IkJBaHBBbjhOIiwiZXhwIjpudWxsLCJwdXIiOiJibG9iX2lkIn19--41786a1d617a912d7cb5537497b2299e42e8f1ae/infras%20act%2015%20uk.pdf|en</t>
  </si>
  <si>
    <t>https://climate-laws.org/rails/active_storage/blobs/eyJfcmFpbHMiOnsibWVzc2FnZSI6IkJBaHBBbjhOIiwiZXhwIjpudWxsLCJwdXIiOiJibG9iX2lkIn19--41786a1d617a912d7cb5537497b2299e42e8f1ae/infras%20act%2015%20uk.pdf</t>
  </si>
  <si>
    <t>Streamlined Energy and Carbon Reporting (SECR) for academy trusts</t>
  </si>
  <si>
    <t>https://www.gov.uk/government/publications/academy-trust-financial-management-good-practice-guides/streamlined-energy-and-carbon-reporting|en</t>
  </si>
  <si>
    <t>https://www.gov.uk/government/publications/academy-trust-financial-management-good-practice-guides/streamlined-energy-and-carbon-reporting</t>
  </si>
  <si>
    <t>The Companies (Directors’ Report) and Limited Liability Partnerships (Energy and Carbon Report) Regulations 2018</t>
  </si>
  <si>
    <t>https://www.legislation.gov.uk/uksi/2018/1155/made|en</t>
  </si>
  <si>
    <t>https://www.legislation.gov.uk/uksi/2018/1155/made</t>
  </si>
  <si>
    <t>Water Act 2014</t>
  </si>
  <si>
    <t>https://www.legislation.gov.uk/ukpga/2014/21/part/4/enacted|en</t>
  </si>
  <si>
    <t>https://www.legislation.gov.uk/ukpga/2014/21/part/4/enacted</t>
  </si>
  <si>
    <t>Net Zero Strategy: Build Back Greener</t>
  </si>
  <si>
    <t>https://www.gov.uk/government/publications/net-zero-strategy|en</t>
  </si>
  <si>
    <t>https://www.gov.uk/government/publications/net-zero-strategy</t>
  </si>
  <si>
    <t>https://assets.publishing.service.gov.uk/government/uploads/system/uploads/attachment_data/file/1033990/net-zero-strategy-beis.pdf|en</t>
  </si>
  <si>
    <t>https://assets.publishing.service.gov.uk/government/uploads/system/uploads/attachment_data/file/1033990/net-zero-strategy-beis.pdf</t>
  </si>
  <si>
    <t>H.R. 133 (116th): H.R. 133: Consolidated Appropriations Act, 2021 [Including Coronavirus Stimulus &amp; Relief]</t>
  </si>
  <si>
    <t>United States of America</t>
  </si>
  <si>
    <t>USA</t>
  </si>
  <si>
    <t>https://www.govtrack.us/congress/bills/116/hr133/text|en</t>
  </si>
  <si>
    <t>https://www.govtrack.us/congress/bills/116/hr133/text</t>
  </si>
  <si>
    <t>Final Rule - Phasedown of Hydrofluorocarbons: Establishing the Allowance Allocation and Trading Program under the AIM Act</t>
  </si>
  <si>
    <t>Rule</t>
  </si>
  <si>
    <t>https://www.epa.gov/climate-hfcs-reduction/final-rule-phasedown-hydrofluorocarbons-establishing-allowance-allocation|en</t>
  </si>
  <si>
    <t>https://www.epa.gov/climate-hfcs-reduction/final-rule-phasedown-hydrofluorocarbons-establishing-allowance-allocation</t>
  </si>
  <si>
    <t>Environmental Protection Agency 40 CFR Parts 9 and 84</t>
  </si>
  <si>
    <t>https://www.epa.gov/system/files/documents/2021-09/san-8458-preamble-092221-prepub-with-header.pdf|en</t>
  </si>
  <si>
    <t>https://www.epa.gov/system/files/documents/2021-09/san-8458-preamble-092221-prepub-with-header.pdf</t>
  </si>
  <si>
    <t>Executive Order on Protecting Public Health and the Environment and Restoring Science to Tackle the Climate Crisis</t>
  </si>
  <si>
    <t>https://www.whitehouse.gov/briefing-room/presidential-actions/2021/01/20/executive-order-protecting-public-health-and-environment-and-restoring-science-to-tackle-climate-crisis/|en</t>
  </si>
  <si>
    <t>https://www.whitehouse.gov/briefing-room/presidential-actions/2021/01/20/executive-order-protecting-public-health-and-environment-and-restoring-science-to-tackle-climate-crisis/</t>
  </si>
  <si>
    <t>Interior Department Suspends Oil and Gas Leases in Arctic National Wildlife Refuge</t>
  </si>
  <si>
    <t>https://www.doi.gov/pressreleases/interior-department-suspends-oil-and-gas-leases-arctic-national-wildlife-refuge|en</t>
  </si>
  <si>
    <t>https://www.doi.gov/pressreleases/interior-department-suspends-oil-and-gas-leases-arctic-national-wildlife-refuge</t>
  </si>
  <si>
    <t>Executive Order on Strengthening American Leadership in Clean Cars and Trucks</t>
  </si>
  <si>
    <t>https://www.whitehouse.gov/briefing-room/presidential-actions/2021/08/05/executive-order-on-strengthening-american-leadership-in-clean-cars-and-trucks/|en</t>
  </si>
  <si>
    <t>https://www.whitehouse.gov/briefing-room/presidential-actions/2021/08/05/executive-order-on-strengthening-american-leadership-in-clean-cars-and-trucks/</t>
  </si>
  <si>
    <t>Web page</t>
  </si>
  <si>
    <t>Revised 2023 and Later Model Year Light-Duty Vehicle Greenhouse Gas Emissions Standards</t>
  </si>
  <si>
    <t>https://www.federalregister.gov/documents/2021/12/30/2021-27854/revised-2023-and-later-model-year-light-duty-vehicle-greenhouse-gas-emissions-standards|en</t>
  </si>
  <si>
    <t>https://www.federalregister.gov/documents/2021/12/30/2021-27854/revised-2023-and-later-model-year-light-duty-vehicle-greenhouse-gas-emissions-standards</t>
  </si>
  <si>
    <t>text/plain</t>
  </si>
  <si>
    <t>Web page version of PDF (with link to PDF available!)</t>
  </si>
  <si>
    <t>Executive Order on Catalyzing Clean Energy Industries and Jobs Through Federal Sustainability</t>
  </si>
  <si>
    <t>https://www.whitehouse.gov/briefing-room/presidential-actions/2021/12/08/executive-order-on-catalyzing-clean-energy-industries-and-jobs-through-federal-sustainability/|en</t>
  </si>
  <si>
    <t>https://www.whitehouse.gov/briefing-room/presidential-actions/2021/12/08/executive-order-on-catalyzing-clean-energy-industries-and-jobs-through-federal-sustainability/</t>
  </si>
  <si>
    <t>Federal Sustainability Plan: Catalyzing America's Clean Energy Industries and Jobs</t>
  </si>
  <si>
    <t>https://www.sustainability.gov/pdfs/federal-sustainability-plan.pdf|en</t>
  </si>
  <si>
    <t>https://www.sustainability.gov/pdfs/federal-sustainability-plan.pdf</t>
  </si>
  <si>
    <t>Federal Sustainability Plan</t>
  </si>
  <si>
    <t>https://www.sustainability.gov/federalsustainabilityplan/index.html|en</t>
  </si>
  <si>
    <t>https://www.sustainability.gov/federalsustainabilityplan/index.html</t>
  </si>
  <si>
    <t>Web page with additional information; no date</t>
  </si>
  <si>
    <t>Environmental Management and Conservation Act No.12 of 2002 (Consolidated Edition 2004)</t>
  </si>
  <si>
    <t>Vanuatu</t>
  </si>
  <si>
    <t>VUT</t>
  </si>
  <si>
    <t>https://climate-laws.org/rails/active_storage/blobs/eyJfcmFpbHMiOnsibWVzc2FnZSI6IkJBaHBBa1FJIiwiZXhwIjpudWxsLCJwdXIiOiJibG9iX2lkIn19--089018cf4b5b08ccd9dcae23f20d3eafedd88808/f|</t>
  </si>
  <si>
    <t>https://climate-laws.org/rails/active_storage/blobs/eyJfcmFpbHMiOnsibWVzc2FnZSI6IkJBaHBBa1FJIiwiZXhwIjpudWxsLCJwdXIiOiJibG9iX2lkIn19--089018cf4b5b08ccd9dcae23f20d3eafedd88808/f</t>
  </si>
  <si>
    <t>Environmental Management and Conservation (Amendment) Act No. 28 of 2010</t>
  </si>
  <si>
    <t>https://climate-laws.org/rails/active_storage/blobs/eyJfcmFpbHMiOnsibWVzc2FnZSI6IkJBaHBBa1VJIiwiZXhwIjpudWxsLCJwdXIiOiJibG9iX2lkIn19--0609ec8856eb6c1376c0a6b3be3e21e09c5b3434/f|</t>
  </si>
  <si>
    <t>https://climate-laws.org/rails/active_storage/blobs/eyJfcmFpbHMiOnsibWVzc2FnZSI6IkJBaHBBa1VJIiwiZXhwIjpudWxsLCJwdXIiOiJibG9iX2lkIn19--0609ec8856eb6c1376c0a6b3be3e21e09c5b3434/f</t>
  </si>
  <si>
    <t>Gaceta Oficial de la República Bolivariana de Venezuela Número 42.217</t>
  </si>
  <si>
    <t>Venezuela</t>
  </si>
  <si>
    <t>VEN</t>
  </si>
  <si>
    <t>https://www.ojdt.com.ve/archivos/gacetas/2021-10/42.217.pdf|es</t>
  </si>
  <si>
    <t>https://www.ojdt.com.ve/archivos/gacetas/2021-10/42.217.pdf</t>
  </si>
  <si>
    <t>Gazzette contains various decrees and resolutions - not clear which one should be the title without the original CCLW title</t>
  </si>
  <si>
    <t>Gaceta Oficial de la República Bolivariana de Venezuela Número 42.246</t>
  </si>
  <si>
    <t>https://www.gacetaoficial.io/venezuela/descarga/2021-go-42246.pdf|es</t>
  </si>
  <si>
    <t>https://www.gacetaoficial.io/venezuela/descarga/2021-go-42246.pdf</t>
  </si>
  <si>
    <t>Gazzette contains a decree and a resolution - not clear which one should be the title without the original CCLW title</t>
  </si>
  <si>
    <t>Law on Natural Disaster Prevention and Control</t>
  </si>
  <si>
    <t>Vietnam</t>
  </si>
  <si>
    <t>VNM</t>
  </si>
  <si>
    <t>https://climate-laws.org/rails/active_storage/blobs/eyJfcmFpbHMiOnsibWVzc2FnZSI6IkJBaHBBZ01HIiwiZXhwIjpudWxsLCJwdXIiOiJibG9iX2lkIn19--1a9e02a947b3c582c36d7a2a2bb6133b2deb252b/f|vi</t>
  </si>
  <si>
    <t>https://climate-laws.org/rails/active_storage/blobs/eyJfcmFpbHMiOnsibWVzc2FnZSI6IkJBaHBBZ01HIiwiZXhwIjpudWxsLCJwdXIiOiJibG9iX2lkIn19--1a9e02a947b3c582c36d7a2a2bb6133b2deb252b/f</t>
  </si>
  <si>
    <t>Nghị Định Quy định chi tiết thi hành một số điều của Luật Phòng, chống thiên tai và Luật sura đối, bổ sung một số điều của Luật Phòng, chống thiên tai và Luật Để điều</t>
  </si>
  <si>
    <t>Decree detailing the implementation of a number of articles of the Law on Natural Disaster Prevention and Control and the Law on Sura for and supplementing a number of articles of the Law on Natural Disaster Prevention and Control and the Law on Natural Disaster Prevention and Control.</t>
  </si>
  <si>
    <t>Vietnamese</t>
  </si>
  <si>
    <t>https://climate-laws.org/rails/active_storage/blobs/eyJfcmFpbHMiOnsibWVzc2FnZSI6IkJBaHBBaWdPIiwiZXhwIjpudWxsLCJwdXIiOiJibG9iX2lkIn19--d59e4b7a922c7709500274c26d7e3086f36632b6/66.signed.pdf|vi</t>
  </si>
  <si>
    <t>https://climate-laws.org/rails/active_storage/blobs/eyJfcmFpbHMiOnsibWVzc2FnZSI6IkJBaHBBaWdPIiwiZXhwIjpudWxsLCJwdXIiOiJibG9iX2lkIn19--d59e4b7a922c7709500274c26d7e3086f36632b6/66.signed.pdf</t>
  </si>
  <si>
    <t>Can't copy the title with special characters for Google Translate</t>
  </si>
  <si>
    <t>NGHỊ QUYẾT VỀ CHỦ ĐỘNG ỨNG PHÓ VỚI BIẾN ĐỔI KHÍ HẬU, TĂNG CƯỜNG QUẢN LÝ TÀI NGUYÊN VÀ BẢO VỆ MÔI TRƯỜNG</t>
  </si>
  <si>
    <t>https://climate-laws.org/rails/active_storage/blobs/eyJfcmFpbHMiOnsibWVzc2FnZSI6IkJBaHBBandJIiwiZXhwIjpudWxsLCJwdXIiOiJibG9iX2lkIn19--fe8be8e5c08d3210a17367d8c813d3f523b3bf55/f|vi</t>
  </si>
  <si>
    <t>https://climate-laws.org/rails/active_storage/blobs/eyJfcmFpbHMiOnsibWVzc2FnZSI6IkJBaHBBandJIiwiZXhwIjpudWxsLCJwdXIiOiJibG9iX2lkIn19--fe8be8e5c08d3210a17367d8c813d3f523b3bf55/f</t>
  </si>
  <si>
    <t>Resolution Active in Response to Climate Change, Improvement of Natural Resource Management and Environmental Protection</t>
  </si>
  <si>
    <t>https://climate-laws.org/rails/active_storage/blobs/eyJfcmFpbHMiOnsibWVzc2FnZSI6IkJBaHBBczRLIiwiZXhwIjpudWxsLCJwdXIiOiJibG9iX2lkIn19--564294597b42c03b3407c4fd693e54f219c27446/1792%20English.pdf|en</t>
  </si>
  <si>
    <t>https://climate-laws.org/rails/active_storage/blobs/eyJfcmFpbHMiOnsibWVzc2FnZSI6IkJBaHBBczRLIiwiZXhwIjpudWxsLCJwdXIiOiJibG9iX2lkIn19--564294597b42c03b3407c4fd693e54f219c27446/1792%20English.pdf</t>
  </si>
  <si>
    <t>QUYẾT ĐỊNH PHÊ DUYỆT CHIẾN LƯỢC QUỐC GIA VỀ TĂNG TRƯỞNG XANH</t>
  </si>
  <si>
    <t>https://climate-laws.org/rails/active_storage/blobs/eyJfcmFpbHMiOnsibWVzc2FnZSI6IkJBaHBBa01JIiwiZXhwIjpudWxsLCJwdXIiOiJibG9iX2lkIn19--2aef2baad4ed02f7170ab7ad0565f5d17c554455/f|vi</t>
  </si>
  <si>
    <t>https://climate-laws.org/rails/active_storage/blobs/eyJfcmFpbHMiOnsibWVzc2FnZSI6IkJBaHBBa01JIiwiZXhwIjpudWxsLCJwdXIiOiJibG9iX2lkIn19--2aef2baad4ed02f7170ab7ad0565f5d17c554455/f</t>
  </si>
  <si>
    <t>Decision: Approval of the National Green Growth Strategy</t>
  </si>
  <si>
    <t>https://climate-laws.org/rails/active_storage/blobs/eyJfcmFpbHMiOnsibWVzc2FnZSI6IkJBaHBBczhLIiwiZXhwIjpudWxsLCJwdXIiOiJibG9iX2lkIn19--1821bc35e30e45348d319d985e75001472b2f8a7/1793%20English.pdf|en</t>
  </si>
  <si>
    <t>https://climate-laws.org/rails/active_storage/blobs/eyJfcmFpbHMiOnsibWVzc2FnZSI6IkJBaHBBczhLIiwiZXhwIjpudWxsLCJwdXIiOiJibG9iX2lkIn19--1821bc35e30e45348d319d985e75001472b2f8a7/1793%20English.pdf</t>
  </si>
  <si>
    <t>Decision On Approval of the National Action Plan on Green growth in Vietnam For the Period of 2014-2020</t>
  </si>
  <si>
    <t>https://climate-laws.org/rails/active_storage/blobs/eyJfcmFpbHMiOnsibWVzc2FnZSI6IkJBaHBBZ2NOIiwiZXhwIjpudWxsLCJwdXIiOiJibG9iX2lkIn19--adea143062be9b0a6260f045d6dd658106d286ad/2014%20PM%20Decision%20403_National%20Action%20Plan%20on%20Green%20Growth%202014_2020.pdf|en</t>
  </si>
  <si>
    <t>https://climate-laws.org/rails/active_storage/blobs/eyJfcmFpbHMiOnsibWVzc2FnZSI6IkJBaHBBZ2NOIiwiZXhwIjpudWxsLCJwdXIiOiJibG9iX2lkIn19--adea143062be9b0a6260f045d6dd658106d286ad/2014%20PM%20Decision%20403_National%20Action%20Plan%20on%20Green%20Growth%202014_2020.pdf</t>
  </si>
  <si>
    <t>Decision Introducing the Natural Resources and Environment Action Program for Implementation of the National Green Growth Strategy for the Period 2015-2020 with Vision to 2030</t>
  </si>
  <si>
    <t>https://climate-laws.org/rails/active_storage/blobs/eyJfcmFpbHMiOnsibWVzc2FnZSI6IkJBaHBBZ2dOIiwiZXhwIjpudWxsLCJwdXIiOiJibG9iX2lkIn19--d17560bc697a70fb62bfca229c2d0ea826598d17/2015%20MONRE%20Decision_965_2015_QD_BTNMT_qdbtnmt_National%20Green%20Growth%20Strategy%20for%202015_2020.docx|en</t>
  </si>
  <si>
    <t>https://climate-laws.org/rails/active_storage/blobs/eyJfcmFpbHMiOnsibWVzc2FnZSI6IkJBaHBBZ2dOIiwiZXhwIjpudWxsLCJwdXIiOiJibG9iX2lkIn19--d17560bc697a70fb62bfca229c2d0ea826598d17/2015%20MONRE%20Decision_965_2015_QD_BTNMT_qdbtnmt_National%20Green%20Growth%20Strategy%20for%202015_2020.docx</t>
  </si>
  <si>
    <t>Word document</t>
  </si>
  <si>
    <t>Decision Approving the Cooperation Program for Climate Change and Green Growth in the 2016-2020 Period</t>
  </si>
  <si>
    <t>https://climate-laws.org/rails/active_storage/blobs/eyJfcmFpbHMiOnsibWVzc2FnZSI6IkJBaHBBZ2tOIiwiZXhwIjpudWxsLCJwdXIiOiJibG9iX2lkIn19--f6096e430bda67b893c9677907a9c1637b109611/2017%20PM%20Decision%201670_QD-TTg_365899_CC%20and%20Green%20Growth%20Strategy_2016-2020_EN_GT.pdf|en</t>
  </si>
  <si>
    <t>https://climate-laws.org/rails/active_storage/blobs/eyJfcmFpbHMiOnsibWVzc2FnZSI6IkJBaHBBZ2tOIiwiZXhwIjpudWxsLCJwdXIiOiJibG9iX2lkIn19--f6096e430bda67b893c9677907a9c1637b109611/2017%20PM%20Decision%201670_QD-TTg_365899_CC%20and%20Green%20Growth%20Strategy_2016-2020_EN_GT.pdf</t>
  </si>
  <si>
    <t>QUYẾT ĐỊNH PHÊ DUYỆT CHƯƠNG TRÌNH HÀNH ĐỘNG QUỐC GIA VỀ “GIẢM PHÁT THẢI KHÍ NHÀ KÍNH THÔNG QUA NỖ LỰC HẠN CHẾ MẤT RỪNG VÀ SUY THOÁI RỪNG, QUẢN LÝ BỀN VỮNG TÀI NGUYÊN RỪNG, BẢO TỒN VÀ NÂNG CAO TRỮ LƯỢNG CÁC BON RỪNG” GIAI ĐOẠN 2011 - 2020</t>
  </si>
  <si>
    <t>https://climate-laws.org/rails/active_storage/blobs/eyJfcmFpbHMiOnsibWVzc2FnZSI6IkJBaHBBam9JIiwiZXhwIjpudWxsLCJwdXIiOiJibG9iX2lkIn19--5068338e35c1be8360725f0113a7ddfa83827c59/f|vi</t>
  </si>
  <si>
    <t>https://climate-laws.org/rails/active_storage/blobs/eyJfcmFpbHMiOnsibWVzc2FnZSI6IkJBaHBBam9JIiwiZXhwIjpudWxsLCJwdXIiOiJibG9iX2lkIn19--5068338e35c1be8360725f0113a7ddfa83827c59/f</t>
  </si>
  <si>
    <t>Year is cut off</t>
  </si>
  <si>
    <t>Decision On Approval of the National Action Program on Reduction of Greenhouse Gas Emissions through Efforts to Reduce Deforestation and Forest Degradation, Sustainable Management of Forest Resources, and Conservation and Enhancement of Forest Carbon Stocks 2011-2020</t>
  </si>
  <si>
    <t>https://climate-laws.org/rails/active_storage/blobs/eyJfcmFpbHMiOnsibWVzc2FnZSI6IkJBaHBBdEFLIiwiZXhwIjpudWxsLCJwdXIiOiJibG9iX2lkIn19--c10efd4b765af888eb021307fc3ac2b991a46426/1794%20English.pdf|en</t>
  </si>
  <si>
    <t>https://climate-laws.org/rails/active_storage/blobs/eyJfcmFpbHMiOnsibWVzc2FnZSI6IkJBaHBBdEFLIiwiZXhwIjpudWxsLCJwdXIiOiJibG9iX2lkIn19--c10efd4b765af888eb021307fc3ac2b991a46426/1794%20English.pdf</t>
  </si>
  <si>
    <t>Decision On Approval of the National Action Programme on the Reduction of Greenhouse Gas Emissions through the reduction of Deforestation and Forest Degradation, Sustainable Management of Forest Resources, and Conservation and Enhancement of Forest Carbon Stocks (REDD+) by 2030</t>
  </si>
  <si>
    <t>http://extwprlegs1.fao.org/docs/pdf/vie189912.pdf|en</t>
  </si>
  <si>
    <t>http://extwprlegs1.fao.org/docs/pdf/vie189912.pdf</t>
  </si>
  <si>
    <t>Law on Economical and Efficient Use of Energy</t>
  </si>
  <si>
    <t>https://climate-laws.org/rails/active_storage/blobs/eyJfcmFpbHMiOnsibWVzc2FnZSI6IkJBaHBBak1JIiwiZXhwIjpudWxsLCJwdXIiOiJibG9iX2lkIn19--117b5e22e047831a7be30270e72ae2aa73bfa67d/f|</t>
  </si>
  <si>
    <t>https://climate-laws.org/rails/active_storage/blobs/eyJfcmFpbHMiOnsibWVzc2FnZSI6IkJBaHBBak1JIiwiZXhwIjpudWxsLCJwdXIiOiJibG9iX2lkIn19--117b5e22e047831a7be30270e72ae2aa73bfa67d/f</t>
  </si>
  <si>
    <t>Decree No. 21/2011/ND-CP of March 29, 2011, detailing the Law on Economical and Efficient Use of Energy and measures for its implementation</t>
  </si>
  <si>
    <t>https://climate-laws.org/rails/active_storage/blobs/eyJfcmFpbHMiOnsibWVzc2FnZSI6IkJBaHBBalFJIiwiZXhwIjpudWxsLCJwdXIiOiJibG9iX2lkIn19--6692b8dc6796af1c803391cef6ee5f25bce18227/f|</t>
  </si>
  <si>
    <t>https://climate-laws.org/rails/active_storage/blobs/eyJfcmFpbHMiOnsibWVzc2FnZSI6IkJBaHBBalFJIiwiZXhwIjpudWxsLCJwdXIiOiJibG9iX2lkIn19--6692b8dc6796af1c803391cef6ee5f25bce18227/f</t>
  </si>
  <si>
    <t>Quyết định 158/2008/QĐ-TTg phê duyệt Chương trình mục tiêu quốc gia ứng phó với biến đổi khí hậu do Thủ tướng Chính phủ ban hành</t>
  </si>
  <si>
    <t>https://climate-laws.org/rails/active_storage/blobs/eyJfcmFpbHMiOnsibWVzc2FnZSI6IkJBaHBBallJIiwiZXhwIjpudWxsLCJwdXIiOiJibG9iX2lkIn19--896918685b3a012321c7f7872e03a9fa57312bf6/f|vi</t>
  </si>
  <si>
    <t>https://climate-laws.org/rails/active_storage/blobs/eyJfcmFpbHMiOnsibWVzc2FnZSI6IkJBaHBBallJIiwiZXhwIjpudWxsLCJwdXIiOiJibG9iX2lkIn19--896918685b3a012321c7f7872e03a9fa57312bf6/f</t>
  </si>
  <si>
    <t>Decision No. 158/2008/QD-TTg of December 2, 2008, approving the national target program on response to climate change.</t>
  </si>
  <si>
    <t>https://climate-laws.org/rails/active_storage/blobs/eyJfcmFpbHMiOnsibWVzc2FnZSI6IkJBaHBBdEVLIiwiZXhwIjpudWxsLCJwdXIiOiJibG9iX2lkIn19--7c36e70dc3bc1fc0ff72a49a0dc776ce06a99f25/1799%20English.pdf|en</t>
  </si>
  <si>
    <t>https://climate-laws.org/rails/active_storage/blobs/eyJfcmFpbHMiOnsibWVzc2FnZSI6IkJBaHBBdEVLIiwiZXhwIjpudWxsLCJwdXIiOiJibG9iX2lkIn19--7c36e70dc3bc1fc0ff72a49a0dc776ce06a99f25/1799%20English.pdf</t>
  </si>
  <si>
    <t>Quyết định 79/2006/QĐ-TTg phê duyệt Chương trình mục tiêu quốc gia về sử dụng năng lượng tiết kiệm và hiệu quả do Thủ tướng Chính phủ ban hành</t>
  </si>
  <si>
    <t>https://climate-laws.org/rails/active_storage/blobs/eyJfcmFpbHMiOnsibWVzc2FnZSI6IkJBaHBBakVJIiwiZXhwIjpudWxsLCJwdXIiOiJibG9iX2lkIn19--0357a6bda747097d2671f2a23ed5c77059c9f545/f|vi</t>
  </si>
  <si>
    <t>https://climate-laws.org/rails/active_storage/blobs/eyJfcmFpbHMiOnsibWVzc2FnZSI6IkJBaHBBakVJIiwiZXhwIjpudWxsLCJwdXIiOiJibG9iX2lkIn19--0357a6bda747097d2671f2a23ed5c77059c9f545/f</t>
  </si>
  <si>
    <t>Decision No. 79/2006/QD-TTg of April 14, 2006, approving the national target program on economical and efficient use of energy.</t>
  </si>
  <si>
    <t>https://climate-laws.org/rails/active_storage/blobs/eyJfcmFpbHMiOnsibWVzc2FnZSI6IkJBaHBBdElLIiwiZXhwIjpudWxsLCJwdXIiOiJibG9iX2lkIn19--1313d855270c7f36717a0477b1bc9ab8045e756b/1803%20English.pdf|en</t>
  </si>
  <si>
    <t>https://climate-laws.org/rails/active_storage/blobs/eyJfcmFpbHMiOnsibWVzc2FnZSI6IkJBaHBBdElLIiwiZXhwIjpudWxsLCJwdXIiOiJibG9iX2lkIn19--1313d855270c7f36717a0477b1bc9ab8045e756b/1803%20English.pdf</t>
  </si>
  <si>
    <t>Quyết Định Về cơ chế khuyến chích phát triển các dự án điện mặt trời tại Việt Nam</t>
  </si>
  <si>
    <t>Decision on the mechanism to encourage the development of solar power projects in Vietnam</t>
  </si>
  <si>
    <t>https://climate-laws.org/rails/active_storage/blobs/eyJfcmFpbHMiOnsibWVzc2FnZSI6IkJBaHBBb2tHIiwiZXhwIjpudWxsLCJwdXIiOiJibG9iX2lkIn19--884b1527369523dc7550358e11616e0f1f216f70/f|vi</t>
  </si>
  <si>
    <t>https://climate-laws.org/rails/active_storage/blobs/eyJfcmFpbHMiOnsibWVzc2FnZSI6IkJBaHBBb2tHIiwiZXhwIjpudWxsLCJwdXIiOiJibG9iX2lkIn19--884b1527369523dc7550358e11616e0f1f216f70/f</t>
  </si>
  <si>
    <t>QUYẾT ĐỊNH VỀ CƠ CHẾ KHUYẾN KHÍCH PHÁT TRIỂN ĐIỆN MẶT TRỜI TẠI VIỆT NAM</t>
  </si>
  <si>
    <t>https://thuvienphapluat.vn/van-ban/tai-nguyen-moi-truong/Quyet-dinh-13-2020-QD-TTg-co-che-khuyen-khich-phat-trien-dien-mat-troi-tai-Viet-Nam-439160.aspx|vi</t>
  </si>
  <si>
    <t>https://thuvienphapluat.vn/van-ban/tai-nguyen-moi-truong/Quyet-dinh-13-2020-QD-TTg-co-che-khuyen-khich-phat-trien-dien-mat-troi-tai-Viet-Nam-439160.aspx</t>
  </si>
  <si>
    <t>QUY ĐỊNH VỀ PHÁT TRIỂN DỰ ÁN VÀ HỢP ĐỒNG MUA BÁN ĐIỆN MẪU ÁP DỤNG CHO CÁC DỰ ÁN ĐIỆN MẶT TRỜI</t>
  </si>
  <si>
    <t>https://thuvienphapluat.vn/van-ban/dau-tu/Thong-tu-18-2020-TT-BCT-hop-dong-mua-ban-dien-mau-ap-dung-cho-du-an-dien-mat-troi-448189.aspx|vi</t>
  </si>
  <si>
    <t>https://thuvienphapluat.vn/van-ban/dau-tu/Thong-tu-18-2020-TT-BCT-hop-dong-mua-ban-dien-mau-ap-dung-cho-du-an-dien-mat-troi-448189.aspx</t>
  </si>
  <si>
    <t>Odd title?</t>
  </si>
  <si>
    <t>Decision on Mechanism for Encouragement of Development of Solar Power in Vietnam</t>
  </si>
  <si>
    <t>https://climate-laws.org/rails/active_storage/blobs/eyJfcmFpbHMiOnsibWVzc2FnZSI6IkJBaHBBZ29OIiwiZXhwIjpudWxsLCJwdXIiOiJibG9iX2lkIn19--2e885e0e4e63a2c02540ccf410df7d8885d9c216/2017%20PM%20Decision%2011_2017_q%C4%91ttg%202017_Mechanism%20for%20Encouraging%20Solar%20Power%20Development.docx|en</t>
  </si>
  <si>
    <t>https://climate-laws.org/rails/active_storage/blobs/eyJfcmFpbHMiOnsibWVzc2FnZSI6IkJBaHBBZ29OIiwiZXhwIjpudWxsLCJwdXIiOiJibG9iX2lkIn19--2e885e0e4e63a2c02540ccf410df7d8885d9c216/2017%20PM%20Decision%2011_2017_q%C4%91ttg%202017_Mechanism%20for%20Encouraging%20Solar%20Power%20Development.docx</t>
  </si>
  <si>
    <t>Decree: Policies on Sustainable Management, Protection and Development of Coastal Forests to Cope with Climate Change</t>
  </si>
  <si>
    <t>https://climate-laws.org/rails/active_storage/blobs/eyJfcmFpbHMiOnsibWVzc2FnZSI6IkJBaHBBdjBNIiwiZXhwIjpudWxsLCJwdXIiOiJibG9iX2lkIn19--c359bf772c4c06ec95a212a061f93f70ce96c156/2016%20Decree%20119_N%C4%90CP_Policies%20on%20Sustainable%20Management%20and%20Protection%20of%20Coastal%20Forests%20Against%20Climate%20Change_Google%20Translation.docx|en</t>
  </si>
  <si>
    <t>https://climate-laws.org/rails/active_storage/blobs/eyJfcmFpbHMiOnsibWVzc2FnZSI6IkJBaHBBdjBNIiwiZXhwIjpudWxsLCJwdXIiOiJibG9iX2lkIn19--c359bf772c4c06ec95a212a061f93f70ce96c156/2016%20Decree%20119_N%C4%90CP_Policies%20on%20Sustainable%20Management%20and%20Protection%20of%20Coastal%20Forests%20Against%20Climate%20Change_Google%20Translation.docx</t>
  </si>
  <si>
    <t>Decision Approving the Project on Protection and Development of Coastal Forests to Cope with Climate Change in 2015-2020 Period</t>
  </si>
  <si>
    <t>https://climate-laws.org/rails/active_storage/blobs/eyJfcmFpbHMiOnsibWVzc2FnZSI6IkJBaHBBZ0VOIiwiZXhwIjpudWxsLCJwdXIiOiJibG9iX2lkIn19--6fde6382e53fbf844f16cdcb04202a6e8d7bcb04/2015%20PM%20Decision%20120_qdttg_Approving%20Projects%20to%20Protect%20and%20Develop%20Coastal%20Forests%20for%20Climate%20Change%20Adaptation_2015_2020.docx|en</t>
  </si>
  <si>
    <t>https://climate-laws.org/rails/active_storage/blobs/eyJfcmFpbHMiOnsibWVzc2FnZSI6IkJBaHBBZ0VOIiwiZXhwIjpudWxsLCJwdXIiOiJibG9iX2lkIn19--6fde6382e53fbf844f16cdcb04202a6e8d7bcb04/2015%20PM%20Decision%20120_qdttg_Approving%20Projects%20to%20Protect%20and%20Develop%20Coastal%20Forests%20for%20Climate%20Change%20Adaptation_2015_2020.docx</t>
  </si>
  <si>
    <t>National Action Plan for the Implementation of the 2030 Sustainable Development Agenda</t>
  </si>
  <si>
    <t>Decision and plan</t>
  </si>
  <si>
    <t>https://vietnam.un.org/sites/default/files/2020-08/ke%20hoach%20hanh%20dong%20quoc%20gia_04-07-ENG_CHXHCNVN.pdf|en</t>
  </si>
  <si>
    <t>https://vietnam.un.org/sites/default/files/2020-08/ke%20hoach%20hanh%20dong%20quoc%20gia_04-07-ENG_CHXHCNVN.pdf</t>
  </si>
  <si>
    <t>Both a decision and an action plan</t>
  </si>
  <si>
    <t>KẾ HOẠCH HÀNH ĐỘNG QUỐC GIA THỰC HIỆN CHƯƠNG TRÌNH NGHỊ SỰ 2030 VÌ SỰ PHÁT TRIỂN BỀN VỮNG</t>
  </si>
  <si>
    <t>https://vietnam.un.org/sites/default/files/2020-08/ke%20hoach%20hanh%20dong%20quoc%20gia_04-07_VN_CHXHCNVN%20%281%29.pdf|vi</t>
  </si>
  <si>
    <t>https://vietnam.un.org/sites/default/files/2020-08/ke%20hoach%20hanh%20dong%20quoc%20gia_04-07_VN_CHXHCNVN%20%281%29.pdf</t>
  </si>
  <si>
    <t>The National Agriculture Policy 2012-2030</t>
  </si>
  <si>
    <t>Zambia</t>
  </si>
  <si>
    <t>ZMB</t>
  </si>
  <si>
    <t>http://www.lse.ac.uk/GranthamInstitute/wp-content/uploads/laws/4845.pdf|en</t>
  </si>
  <si>
    <t>http://www.lse.ac.uk/GranthamInstitute/wp-content/uploads/laws/4845.pdf</t>
  </si>
  <si>
    <t>Second National Agricultural Policy</t>
  </si>
  <si>
    <t>http://cbz.org.zm/public/downloads/SECOND-NATIONAL-AGRICULTURAL-POLICY-2016.pdf|en</t>
  </si>
  <si>
    <t>http://cbz.org.zm/public/downloads/SECOND-NATIONAL-AGRICULTURAL-POLICY-2016.pdf</t>
  </si>
  <si>
    <t>National Strategy for Environment</t>
  </si>
  <si>
    <t>http://www.sce.gov.bh/en/NationalStrategyforEnvironment?cms=iQRpheuphYtJ6pyXUGiNqkP7woZPUrlc(9-feb-18),http://www.sce.gov.bh/Media/Documents/Startegy/Environment%20National%20Startegy-%202006.pdf(9-feb-18),|</t>
  </si>
  <si>
    <t>http://www.sce.gov.bh/en/NationalStrategyforEnvironment?cms=iQRpheuphYtJ6pyXUGiNqkP7woZPUrlc</t>
  </si>
  <si>
    <t>Just a webpage with additional information</t>
  </si>
  <si>
    <t>The National Environment Strategy</t>
  </si>
  <si>
    <t>http://www.sce.gov.bh/Media/Documents/Startegy/Environment%20National%20Startegy-%202006.pdf</t>
  </si>
  <si>
    <t>https://www.minminas.gov.co/documents/10180/170046/Decreto+%F2nico+Reglamentario+Sector+Minas+y+Energ%92a.pdf/8f19ed1d-16a0-4a09-8213-ae612e424392(7-mar-18),https://www.minminas.gov.co/documents/10180/23517/47726-dec_0570_230318.pdf(17-apr-18)|</t>
  </si>
  <si>
    <t>https://www.minminas.gov.co/documents/10180/170046/Decreto+%F2nico+Reglamentario+Sector+Minas+y+Energ%92a.pdf/8f19ed1d-16a0-4a09-8213-ae612e424392</t>
  </si>
  <si>
    <t>https://www.minminas.gov.co/documents/10180/23517/47726-dec_0570_230318.pdf</t>
  </si>
  <si>
    <t>http://servicios.minminas.gov.co/compilacionnormativa/docs/pdf/ley_1819_2016.pdf(7-mar-18),http://www.secretariasenado.gov.co/senado/basedoc/ley_1819_2016.html(7-mar-18),|</t>
  </si>
  <si>
    <t>http://servicios.minminas.gov.co/compilacionnormativa/docs/pdf/ley_1819_2016.pdf</t>
  </si>
  <si>
    <t>Link doesn't work - just goes to government department website</t>
  </si>
  <si>
    <t>Ley 1819 de 2016 por medio de la cual se adopta una reforma tributaria estructural, se fortalecen los mecanismos para la lucha contra la evasión y la elusión fiscal y se dictan otras disposiciones</t>
  </si>
  <si>
    <t>http://www.secretariasenado.gov.co/senado/basedoc/ley_1819_2016.html</t>
  </si>
  <si>
    <t>Government department website</t>
  </si>
  <si>
    <t>PNM 2035 - PLAN NATIONAL DE MOBILITÉ</t>
  </si>
  <si>
    <t>http://www.mt.public.lu/planification_mobilite/1strategie_modu/Strategie_pour_une_mobilite_durable_Version_integrale_MODU.pdf(12-feb-18),http://www.mt.public.lu/planification_mobilite/1strategie_modu/index.html(12-feb-18),|</t>
  </si>
  <si>
    <t>http://www.mt.public.lu/planification_mobilite/1strategie_modu/Strategie_pour_une_mobilite_durable_Version_integrale_MODU.pdf</t>
  </si>
  <si>
    <t>Redirects to transport department website</t>
  </si>
  <si>
    <t>http://www.mt.public.lu/planification_mobilite/1strategie_modu/index.html</t>
  </si>
  <si>
    <t>Ley Orgánica de la Administración Pública Federal</t>
  </si>
  <si>
    <t>http://www.diputados.gob.mx/LeyesBiblio/ref/loapf.htm(24-mar-18),http://www.diputados.gob.mx/LeyesBiblio/pdf/153_090318.pdf(24-mar-18)|</t>
  </si>
  <si>
    <t>http://www.diputados.gob.mx/LeyesBiblio/ref/loapf.htm</t>
  </si>
  <si>
    <t>http://www.diputados.gob.mx/LeyesBiblio/pdf/153_090318.pdf</t>
  </si>
  <si>
    <t>Environmental Protection Act Chapter 5: General Provisions</t>
  </si>
  <si>
    <t>http://prdrse4all.spc.int/node/4/content/federated-states-micronesia-environmental-protection-act-chapter-5-general-provisions(6-mar-18),http://prdrse4all.spc.int/system/files/environmental_protection_act_0.pdf(6-mar-18)|</t>
  </si>
  <si>
    <t>http://prdrse4all.spc.int/node/4/content/federated-states-micronesia-environmental-protection-act-chapter-5-general-provisions</t>
  </si>
  <si>
    <t>No year; only one small part of the Act; web page version</t>
  </si>
  <si>
    <t>http://prdrse4all.spc.int/system/files/environmental_protection_act_0.pdf</t>
  </si>
  <si>
    <t>No year; only one small part of the Act</t>
  </si>
  <si>
    <t>https://www.rijksoverheid.nl/ministeries/ministerie-van-economische-zaken-en-klimaat/documenten/kamerstukken/2018/03/27/kamerbrief-routekaart-windenergie-op-zee-2030(27-apr-18),https://english.rvo.nl/sites/default/files/2018/03/Brief%20routekaart%20windenergie%20op%20zee%202024-2030%20-%20EN.pdf(27-apr-18)|</t>
  </si>
  <si>
    <t>https://www.rijksoverheid.nl/ministeries/ministerie-van-economische-zaken-en-klimaat/documenten/kamerstukken/2018/03/27/kamerbrief-routekaart-windenergie-op-zee-2030</t>
  </si>
  <si>
    <t>Offshore Wind Energy Roadmap 2030</t>
  </si>
  <si>
    <t>https://english.rvo.nl/sites/default/files/2018/03/Brief%20routekaart%20windenergie%20op%20zee%202024-2030%20-%20EN.pdf</t>
  </si>
  <si>
    <t>Looks like a letter; no date</t>
  </si>
  <si>
    <t>HOTĂRÂRE nr. 739 din 5 octombrie 2016 pentru aprobarea Strategiei naţionale privind
schimbările climatice şi creşterea economică bazată pe emisii reduse de carbon pentru
perioada 2016-2020 şi a Planului naţional de acţiune pentru implementarea Strategiei
naţionale privind schimbările climatice şi creşterea economică bazată pe emisii reduse de
carbon pentru perioada 2016-2020</t>
  </si>
  <si>
    <t>http://www.asrm.ro/pdf/noutati/noutati_legislative-octombrie-2016/HG%20739_2016%20strategie%20schimbari%20climatice.pdf(6-mar-18),http://mmediu.ro/categorie/strategia-nationala-privind-schimbarile-climatice-rezumat/171(6-mar-18),|</t>
  </si>
  <si>
    <t>http://www.asrm.ro/pdf/noutati/noutati_legislative-octombrie-2016/HG%20739_2016%20strategie%20schimbari%20climatice.pdf</t>
  </si>
  <si>
    <t>Strategia Națională privind Schimbările Climatice (rezumat)</t>
  </si>
  <si>
    <t>http://mmediu.ro/categorie/strategia-nationala-privind-schimbarile-climatice-rezumat/171</t>
  </si>
  <si>
    <t>No date; web page version</t>
  </si>
  <si>
    <t>Rwanda Environment Management Authority Webpage</t>
  </si>
  <si>
    <t>Rwanda</t>
  </si>
  <si>
    <t>RWA</t>
  </si>
  <si>
    <t>Kinyarwanda</t>
  </si>
  <si>
    <t>http://rema.gov.rw/rema_doc/Laws/Itegeko%20rishya%20rya%20REMA.pdf(6-mar-18),http://www.lse.ac.uk/GranthamInstitute/rwanda-law-itegeko-rishya-rya-rema/(6-mar-18)|</t>
  </si>
  <si>
    <t>http://rema.gov.rw/rema_doc/Laws/Itegeko%20rishya%20rya%20REMA.pdf</t>
  </si>
  <si>
    <t>en, fr</t>
  </si>
  <si>
    <t>http://www.lse.ac.uk/GranthamInstitute/rwanda-law-itegeko-rishya-rya-rema/</t>
  </si>
  <si>
    <t>Real Decreto 376/2001, de 6 de abril, por el que se modifica el Real Decreto 1415/2000, de 21 de julio, por el que se desarrolla la estructura orgánica básica del Ministerio de Medio Ambiente</t>
  </si>
  <si>
    <t>Spain</t>
  </si>
  <si>
    <t>ESP</t>
  </si>
  <si>
    <t>Royal Decree</t>
  </si>
  <si>
    <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t>
  </si>
  <si>
    <t>https://boe.es/buscar/doc.php?id=BOE-A-2001-6924&amp;lang=ca</t>
  </si>
  <si>
    <t>Real Decreto 1000/2003, de 25 de julio, por el que se modifica el Real Decreto 1415/2000, de 21 de julio, por el que se desarrolla la estructura orgánica básica del Ministerio de Medio Ambiente</t>
  </si>
  <si>
    <t>https://www.boe.es/buscar/doc.php?id=BOE-A-2003-15019</t>
  </si>
  <si>
    <t>Real Decreto 1477/2004, de 18 de junio, por el que se desarrolla la estructura orgánica básica del Ministerio de Medio Ambiente</t>
  </si>
  <si>
    <t>http://www.boe.es/buscar/doc.php?id=BOE-A-2004-11445</t>
  </si>
  <si>
    <t>Real Decreto 1334/2006, de 21 de noviembre, por el que se modifica el Real Decreto 1477/2004, de 18 de junio, por el que se desarrolla la estructura orgánica básica del Ministerio de Medio Ambiente</t>
  </si>
  <si>
    <t>http://www.boe.es/buscar/doc.php?id=BOE-A-2006-20267</t>
  </si>
  <si>
    <t>Real Decreto 424/2016, de 11 de noviembre, por el que se establece la estructura orgánica básica de los departamentos ministeriales</t>
  </si>
  <si>
    <t>http://www.boe.es/diario_boe/txt.php?id=BOE-A-2016-10459</t>
  </si>
  <si>
    <t>Real Decreto 895/2017, de 6 de octubre, por el que se desarrolla la estructura orgánica básica del Ministerio de Agricultura y Pesca, Alimentación y Medio Ambiente y se modifica el Real Decreto 424/2016, de 11 de noviembre, por el que se establece la estructura orgánica básica de los departamentos ministeriales</t>
  </si>
  <si>
    <t>https://www.boe.es/diario_boe/txt.php?id=BOE-A-2017-11984</t>
  </si>
  <si>
    <t>http://www.mapama.gob.es/es/cambio-climatico/temas/organismos-e-instituciones-implicados-en-la-lucha-contra-el-cambio-climatico-a-nivel-nacional/BOE-A-2011-20640_tcm7-188660.pdf(6-mar-18),http://www.mapama.gob.es/es/cambio-climatico/temas/organismos-e-instituciones-implicados-en-la-lucha-contra-el-cambio-climatico-a-nivel-nacional/comision-delegada-del-gobierno-para-el-cambio-climatico/default.aspx(6-mar-18)|</t>
  </si>
  <si>
    <t>http://www.mapama.gob.es/es/cambio-climatico/temas/organismos-e-instituciones-implicados-en-la-lucha-contra-el-cambio-climatico-a-nivel-nacional/BOE-A-2011-20640_tcm7-188660.pdf</t>
  </si>
  <si>
    <t>http://www.mapama.gob.es/es/cambio-climatico/temas/organismos-e-instituciones-implicados-en-la-lucha-contra-el-cambio-climatico-a-nivel-nacional/comision-delegada-del-gobierno-para-el-cambio-climatico/default.aspx</t>
  </si>
  <si>
    <t>再生能源發展條例</t>
  </si>
  <si>
    <t>Regulation on renewable energy development</t>
  </si>
  <si>
    <t>Taiwan</t>
  </si>
  <si>
    <t>TWN</t>
  </si>
  <si>
    <t>https://law.moj.gov.tw/LawClass/LawContent.aspx?PCODE=J0130032(12-mar-18),http://law.moj.gov.tw/Eng/LawClass/LawAll.aspx?PCode=J0130032(12-mar-18)|</t>
  </si>
  <si>
    <t>https://law.moj.gov.tw/LawClass/LawContent.aspx?PCODE=J0130032</t>
  </si>
  <si>
    <t>Renewable Energy Development Act</t>
  </si>
  <si>
    <t>http://law.moj.gov.tw/Eng/LawClass/LawAll.aspx?PCode=J0130032</t>
  </si>
  <si>
    <t>KHK/644 Çevre ve Şehircilik Bakanlığının kurulması ile bazı kanun ve kanun hükmünde kararnamelerde değişiklik yapılması</t>
  </si>
  <si>
    <t>Turkey</t>
  </si>
  <si>
    <t>TUR</t>
  </si>
  <si>
    <t>Turkish</t>
  </si>
  <si>
    <t>http://www.resmigazete.gov.tr/eskiler/2011/07/20110704M1-1.htm(12-mar-18),http://www.resmigazete.gov.tr/eskiler/2011/08/20110817-1-1.htm(12-mar-18),http://www.resmigazete.gov.tr/eskiler/2018/01/20180104-2.htm(7-mar-18)|</t>
  </si>
  <si>
    <t>http://www.resmigazete.gov.tr/eskiler/2011/07/20110704M1-1.htm</t>
  </si>
  <si>
    <t>KHK/648 Çevre ve Şehircilik Bakanlığının Teşkilat ve Görevleri Hakkında Kanun Hükmünde Kararname ile bazı kanun ve kanun hükmünde kararnamelerde değişiklik yapılması</t>
  </si>
  <si>
    <t>http://www.resmigazete.gov.tr/eskiler/2011/08/20110817-1-1.htm</t>
  </si>
  <si>
    <t>FLORLU SERA GAZLARINA İLİŞKİN YÖNETMELİK BİRİNCİ BÖLÜM</t>
  </si>
  <si>
    <t>http://www.resmigazete.gov.tr/eskiler/2018/01/20180104-2.htm</t>
  </si>
  <si>
    <t>Web page version; bad translation</t>
  </si>
  <si>
    <t>Uganda Green Growth Development Strategy 2017/2018 - 2030-2031</t>
  </si>
  <si>
    <t>25/12/2017|approved||</t>
  </si>
  <si>
    <t>Link to full text (PDF)|https://www1.undp.org/content/dam/LECB/docs/pubs-reports/undp-ndc-sp-uganda-ggds-green-growth-dev-strategy-20171204.pdf.|en;Link to official website|http://www.npa.go.ug/about-npa/uganda-green-growth-development-strategy/|en</t>
  </si>
  <si>
    <t>Law 575/97-BP on Electricity, amended by Law 601-VI and Law 5485-VI on Green Tariff (Feed-in Tariff)</t>
  </si>
  <si>
    <t>16/10/1997|Law passed||;01/04/2009|green tariffs ||;20/11/2012|Law amended||</t>
  </si>
  <si>
    <t>Full text|https://climate-laws.org/rails/active_storage/blobs/eyJfcmFpbHMiOnsibWVzc2FnZSI6IkJBaHBBbXNJIiwiZXhwIjpudWxsLCJwdXIiOiJibG9iX2lkIn19--f2c386c9b7969be50ed45e4bdaa62c8b4b1d963f/f|;Full text - part 2|https://climate-laws.org/rails/active_storage/blobs/eyJfcmFpbHMiOnsibWVzc2FnZSI6IkJBaHBBbXdJIiwiZXhwIjpudWxsLCJwdXIiOiJibG9iX2lkIn19--0b4d4787a99a96717dd50772d2059d0755b423b6/f|;Full text - part 3|https://climate-laws.org/rails/active_storage/blobs/eyJfcmFpbHMiOnsibWVzc2FnZSI6IkJBaHBBbTBJIiwiZXhwIjpudWxsLCJwdXIiOiJibG9iX2lkIn19--e35105b9289f9cca01af2184dbdbbe2752590387/f|</t>
  </si>
  <si>
    <t>Law No. 2712-VIII on competitive conditions for the production of electricity from alternative energy sources and amending law No. 3658</t>
  </si>
  <si>
    <t>22/05/2019|Law passed||;21/07/2020|Law amended|Amended by law 3658|</t>
  </si>
  <si>
    <t>Full text (pdf)|https://climate-laws.org/rails/active_storage/blobs/eyJfcmFpbHMiOnsibWVzc2FnZSI6IkJBaHBBdXdFIiwiZXhwIjpudWxsLCJwdXIiOiJibG9iX2lkIn19--58951fddcffb11fbbd2c053406fd1e3e6a28398b/f|uk;Link to official page of law 3658|http://w1.c1.rada.gov.ua/pls/zweb2/webproc4_1?pf3511=69138|uk;Law 4119/2020|http://w1.c1.rada.gov.ua/pls/zweb2/webproc4_1?pf3511=70002|uk</t>
  </si>
  <si>
    <t>Orders no 260 and 261 on energy efficiency in buildings</t>
  </si>
  <si>
    <t>Energy Efficiency</t>
  </si>
  <si>
    <t>27/10/2020|Released||</t>
  </si>
  <si>
    <t>Link to official website - O 260|https://zakon.rada.gov.ua/laws/show/z1257-20/print|uk;Link to official website - O 261|https://zakon.rada.gov.ua/laws/show/z1254-20/print|uk</t>
  </si>
  <si>
    <t>Decree 179/2021 approving the National Economic Strategy for the period up to 2030</t>
  </si>
  <si>
    <t>03/03/2021|Adopted||</t>
  </si>
  <si>
    <t>Full text of the strategy (Word)|https://climate-laws.org/rails/active_storage/blobs/eyJfcmFpbHMiOnsibWVzc2FnZSI6IkJBaHBBaVlPIiwiZXhwIjpudWxsLCJwdXIiOiJibG9iX2lkIn19--bace49b7c6174a8da5c0fcfeac0f6bae089042d6/60413e6481b69340709542.doc|uk;Link to decree on official website|https://www.kmu.gov.ua/npas/pro-zatverdzhennya-nacionalnoyi-eko-a179|uk</t>
  </si>
  <si>
    <t>National Transport Strategy of Ukraine until 2030</t>
  </si>
  <si>
    <t>30/05/2018|Approved||;07/05/2021|Action plan approved||</t>
  </si>
  <si>
    <t>Official page explaining infrastructure reform|https://www.kmu.gov.ua/en/reformi/ekonomichne-zrostannya/reforma-infrastrukturi|en;2021 action plan announcement|https://www.kmu.gov.ua/en/news/uryad-zatverdiv-plan-zahodiv-z-realizaciyi-nacionalnoyi-transportnoyi-strategiyi-ukrayini-do-2030-roku-vladislav-kriklij|en;Link to full text (PDF)|https://climate-laws.org/rails/active_storage/blobs/eyJfcmFpbHMiOnsibWVzc2FnZSI6IkJBaHBBbVVPIiwiZXhwIjpudWxsLCJwdXIiOiJibG9iX2lkIn19--602468e511b2731e63fa7def8e58767acca1562e/%D0%9F%D1%80%D0%BE%20%D1%81%D1%85%D0%B2%D0%B0%D0%BB%D0%B5%D0%BD%D0%BD%D1%8F%20%D0%9D%D0%B0%D1%86%D1%96%D0%BE%D0%BD%D0%B0%D0%BB%D1%8C%D0%BD%D0%BE%D1%97%20%D1%82%D1%80%D0%B0...%20-%20%D0%B2%D1%96%D0%B4%2030.05.2018%20%E2%84%96%20430-%D1%80%20(%D0%A2%D0%B5%D0%BA%D1%81%D1%82%20%D0%B4%D0%BB%D1%8F%20%D0%B4%D1%80%D1%83%D0%BA%D1%83).pdf|uk</t>
  </si>
  <si>
    <t>National Adaptation Programme (last version covering 2018-2023)</t>
  </si>
  <si>
    <t>Disclosure obligations|Regulation;Standards, obligations and norms|Regulation;Zoning &amp; Spatial Planning|Regulation;Processes, plans and strategies|Governance;Research &amp; Development, knowledge generation|Information</t>
  </si>
  <si>
    <t>Floods;Droughts;Cyclones;Tsunamis;Storms;Hurricanes;Landslides;Wildfires;Changes In Air Quality;Heat Waves And Heat Stress;Soil Erosion;Changes In Average Precipitation;Sea Level Change;Surface Water Change;Changes In Average Temperature;Groundwater Change;Ocean Acidification</t>
  </si>
  <si>
    <t>01/06/2013|Law passed||;19/07/2018|Last amendment||</t>
  </si>
  <si>
    <t>Full text|https://climate-laws.org/rails/active_storage/blobs/eyJfcmFpbHMiOnsibWVzc2FnZSI6IkJBaHBBc2NJIiwiZXhwIjpudWxsLCJwdXIiOiJibG9iX2lkIn19--096244143d5dc825d9a4fd79a7135236fa4ffb1c/f|;Full text 2|https://climate-laws.org/rails/active_storage/blobs/eyJfcmFpbHMiOnsibWVzc2FnZSI6IkJBaHBBc2dJIiwiZXhwIjpudWxsLCJwdXIiOiJibG9iX2lkIn19--2f0f5cbbd51366fca367a72b9618803ef22d5ca8/f|</t>
  </si>
  <si>
    <t>Feed-in Tariffs for renewable electricity</t>
  </si>
  <si>
    <t>Energy Supply;Covid19</t>
  </si>
  <si>
    <t>01/04/2010|Law passed||;25/12/2014|Law amended||;31/03/2020|Entry into force of Feed-in Tariffs (Amendment) (Coronavirus) Order 2020||</t>
  </si>
  <si>
    <t>link to official website|https://www.gov.uk/feed-in-tariffs|en;link to official website|https://www.ofgem.gov.uk/environmental-programmes/fit|en;Link to 2020 amendment|http://www.legislation.gov.uk/uksi/2020/375/introduction/made|en</t>
  </si>
  <si>
    <t>Provision of climate funds|Direct Investment;Institutional mandates|Governance;Processes, plans and strategies|Governance;Subnational and citizen participation|Governance;MRV|Governance;Research &amp; Development, knowledge generation|Information</t>
  </si>
  <si>
    <t>Adaptation;Institutions / Administrative Arrangements;Research And Development;Carbon Pricing;Energy Supply;Energy Demand;Transportation</t>
  </si>
  <si>
    <t>25/12/2008|Law passed||;26/06/2019|Last amendment||</t>
  </si>
  <si>
    <t>Full text|https://www.legislation.gov.uk/ukpga/2008/27/contents|en;Link to sixth carbon budget|https://www.theccc.org.uk/publication/sixth-carbon-budget/|en</t>
  </si>
  <si>
    <t>Contracts for Difference (replacing the Renewables Obligation)</t>
  </si>
  <si>
    <t>Energy Supply;Finance</t>
  </si>
  <si>
    <t>25/12/2002|Law passed||;18/12/2013|Energy Act 2013 passed|Energy Act 2013 passed, phasing out renewables obligation and replacing it with Contracts for Difference|;31/03/2017|Scheme closed to new applicants||</t>
  </si>
  <si>
    <t>Energy Act 2013|https://www.legislation.gov.uk/ukpga/2013/32/contents/enacted|en;Contracts for Difference|https://www.gov.uk/government/publications/contracts-for-difference/contract-for-difference|</t>
  </si>
  <si>
    <t>01/04/2001|Law passed||;25/12/2014|Amendmed||;01/09/2020|Amended||</t>
  </si>
  <si>
    <t>Link to 2020 amendment on official website|https://www.legislation.gov.uk/uksi/2020/958/contents/made|en;Link to page on official website|https://www.gov.uk/guidance/climate-change-agreements--2|en</t>
  </si>
  <si>
    <t>Climate Change Levy</t>
  </si>
  <si>
    <t>25/12/2001|Law passed;25/12/2018|Last amendment</t>
  </si>
  <si>
    <t>Full text|https://climate-laws.org/rails/active_storage/blobs/eyJfcmFpbHMiOnsibWVzc2FnZSI6IkJBaHBBbGNJIiwiZXhwIjpudWxsLCJwdXIiOiJibG9iX2lkIn19--f2ca9724165844ee827156d39481defa0ca427a9/f|;Full text - part 2|https://climate-laws.org/rails/active_storage/blobs/eyJfcmFpbHMiOnsibWVzc2FnZSI6IkJBaHBBbGdJIiwiZXhwIjpudWxsLCJwdXIiOiJibG9iX2lkIn19--abc45229948a7e85004f685351f56a30b97ddd56/f|</t>
  </si>
  <si>
    <t>Energy Act 2016</t>
  </si>
  <si>
    <t>12/05/2016|Law passed||;11/02/2021|New Oil and Gas Authority Strategy comes into force||</t>
  </si>
  <si>
    <t>Full text|https://climate-laws.org/rails/active_storage/blobs/eyJfcmFpbHMiOnsibWVzc2FnZSI6IkJBaHBBZ0VJIiwiZXhwIjpudWxsLCJwdXIiOiJibG9iX2lkIn19--5dd3b935d04997695ecd47cda29a466eca1e522f/f|;Oil and Gas Authority Strategy|https://www.ogauthority.co.uk/news-publications/news/2021/revised-oga-strategy-comes-into-force/|en</t>
  </si>
  <si>
    <t>Cycling and walking investment strategy</t>
  </si>
  <si>
    <t>Transport;Cycling;Walking;Health;Physical Activity</t>
  </si>
  <si>
    <t>21/04/2017|Strategy published||</t>
  </si>
  <si>
    <t>Full 2017 text (PDF)|https://climate-laws.org/rails/active_storage/blobs/eyJfcmFpbHMiOnsibWVzc2FnZSI6IkJBaHBBaTRNIiwiZXhwIjpudWxsLCJwdXIiOiJibG9iX2lkIn19--dd061ead25f2900bf67939ad9e61b71a6e1aa58c/cycling-walking-investment-strategy.pdf|en;May 2020 information on incoming package|https://www.gov.uk/government/news/2-billion-package-to-create-new-era-for-cycling-and-walking|en</t>
  </si>
  <si>
    <t>Gear Change, A bold vision for cycling and walking (Cycling and walking plan for England)</t>
  </si>
  <si>
    <t>Zoning &amp; Spatial Planning|Regulation;Subsidies|Economic;Other|Direct Investment;Capacity building|Governance;Institutional mandates|Governance;Subnational and citizen participation|Governance;Education, training and knowledge dissemination|Information</t>
  </si>
  <si>
    <t>Transport;Cycling;Walking;Health</t>
  </si>
  <si>
    <t>28/07/2020|Document released||</t>
  </si>
  <si>
    <t>Full text (PDF)|https://climate-laws.org/rails/active_storage/blobs/eyJfcmFpbHMiOnsibWVzc2FnZSI6IkJBaHBBa29NIiwiZXhwIjpudWxsLCJwdXIiOiJibG9iX2lkIn19--2e6c4899b2ce6e7b9b7f24c03ce9c9e5a05fa0dd/gear-change-a-bold-vision-for-cycling-and-walking.pdf|en;Press release|https://www.gov.uk/government/news/pm-kickstarts-2bn-cycling-and-walking-revolution|en</t>
  </si>
  <si>
    <t>Cycling;Walking;Infrastructure</t>
  </si>
  <si>
    <t>12/02/2015|Approved||</t>
  </si>
  <si>
    <t>Link to official webpage|https://www.legislation.gov.uk/ukpga/2015/7/contents/enacted|en;Full text (PDF)|https://climate-laws.org/rails/active_storage/blobs/eyJfcmFpbHMiOnsibWVzc2FnZSI6IkJBaHBBbjhOIiwiZXhwIjpudWxsLCJwdXIiOiJibG9iX2lkIn19--41786a1d617a912d7cb5537497b2299e42e8f1ae/infras%20act%2015%20uk.pdf|en</t>
  </si>
  <si>
    <t>Streamlined Energy and Carbon Reporting</t>
  </si>
  <si>
    <t>Disclosure</t>
  </si>
  <si>
    <t>01/04/2019|Regulations entered into force||</t>
  </si>
  <si>
    <t>Link to UK Government Guidance Page|https://www.gov.uk/government/publications/academy-trust-financial-management-good-practice-guides/streamlined-energy-and-carbon-reporting|en;Full text regulations|https://www.legislation.gov.uk/uksi/2018/1155/made|en</t>
  </si>
  <si>
    <t>Water Act 2014 (creation of Flood Re scheme)</t>
  </si>
  <si>
    <t>Tax incentives|Economic;Insurance|Economic</t>
  </si>
  <si>
    <t>Insurance;Reinsurance;Public Private</t>
  </si>
  <si>
    <t>Residential and Commercial</t>
  </si>
  <si>
    <t>04/04/2016|Programme launched||</t>
  </si>
  <si>
    <t>Scheme website|https://www.floodre.co.uk/about-us/|en;Full text Act|https://www.legislation.gov.uk/ukpga/2014/21/part/4/enacted|en</t>
  </si>
  <si>
    <t>Provision of climate funds|Direct Investment;Processes, plans and strategies|Governance;Subnational and citizen participation|Governance;International cooperation|Governance</t>
  </si>
  <si>
    <t>Hydrogen;Carbon Capture And Storage;Fuels</t>
  </si>
  <si>
    <t>Buildings;Economy-wide;Energy;Industry;Social development;Transport</t>
  </si>
  <si>
    <t>19/10/2021|Released||</t>
  </si>
  <si>
    <t>Link to official page with full text, charts and emissions taxonomy|https://www.gov.uk/government/publications/net-zero-strategy|en;Link to full text (PDF)|https://assets.publishing.service.gov.uk/government/uploads/system/uploads/attachment_data/file/1033990/net-zero-strategy-beis.pdf|en</t>
  </si>
  <si>
    <t>Consolidated Appropriations Act, 2021</t>
  </si>
  <si>
    <t>Other|Direct Investment;Capacity building|Governance;Processes, plans and strategies|Governance</t>
  </si>
  <si>
    <t>Health;Energy;Biomass;Covid19;Stimulus Plan;Hf Cs</t>
  </si>
  <si>
    <t>28/12/2020|Approved||;23/09/2021|HFC rule established||</t>
  </si>
  <si>
    <t>Link to full text |https://www.govtrack.us/congress/bills/116/hr133/text|en;Link to HFC rule page on US EPA website|https://www.epa.gov/climate-hfcs-reduction/final-rule-phasedown-hydrofluorocarbons-establishing-allowance-allocation|en;Final HFC rule (PDF)|https://www.epa.gov/system/files/documents/2021-09/san-8458-preamble-092221-prepub-with-header.pdf|en</t>
  </si>
  <si>
    <t>Zoning &amp; Spatial Planning|Regulation;Institutional mandates|Governance;Processes, plans and strategies|Governance;MRV|Governance;Research &amp; Development, knowledge generation|Information</t>
  </si>
  <si>
    <t>Keystone;Arctic;Fossil Fuels;Oil And Gas;Moratorium;Fossil Fuels Curbing Measures;Licensing</t>
  </si>
  <si>
    <t>Economy-wide;Energy;Environment;Health;Public Sector</t>
  </si>
  <si>
    <t>20/01/2021|Released||;01/06/2021|Interior Department Order extending moratorium on oil and gas in the Arctic||</t>
  </si>
  <si>
    <t>Link to official website|https://www.whitehouse.gov/briefing-room/presidential-actions/2021/01/20/executive-order-protecting-public-health-and-environment-and-restoring-science-to-tackle-climate-crisis/|en;Link to official website|https://www.doi.gov/pressreleases/interior-department-suspends-oil-and-gas-leases-arctic-national-wildlife-refuge|en</t>
  </si>
  <si>
    <t>Executive Order 14037 on Strengthening American Leadership in Clean Cars and Trucks and EPA rule on GHG emissions standards</t>
  </si>
  <si>
    <t>Decree/Order/Ordinance;Regulation/Rules</t>
  </si>
  <si>
    <t>Health;Fossil Fuels;Ev;Truck</t>
  </si>
  <si>
    <t>05/08/2021|Passed||;21/12/2021|Standards rule adopted||</t>
  </si>
  <si>
    <t>Link to full text on official website|https://www.whitehouse.gov/briefing-room/presidential-actions/2021/08/05/executive-order-on-strengthening-american-leadership-in-clean-cars-and-trucks/|en;Revised 2023 and Later Model Year Light-Duty Vehicle Greenhouse Gas Emissions Standards|https://www.federalregister.gov/documents/2021/12/30/2021-27854/revised-2023-and-later-model-year-light-duty-vehicle-greenhouse-gas-emissions-standards|en</t>
  </si>
  <si>
    <t>Executive Order 14057 on catalyzing American clean energy industries and jobs through Federal sustainability and accompanying Federal Sustainability Plan</t>
  </si>
  <si>
    <t>Jobs</t>
  </si>
  <si>
    <t>Buildings;Energy;Industry;Public Sector;Transport</t>
  </si>
  <si>
    <t>08/12/2021|Approved||</t>
  </si>
  <si>
    <t>Link to executive order on official website|https://www.whitehouse.gov/briefing-room/presidential-actions/2021/12/08/executive-order-on-catalyzing-clean-energy-industries-and-jobs-through-federal-sustainability/|en;Link to full text of Federal Sustainability Plan (PDF)|https://www.sustainability.gov/pdfs/federal-sustainability-plan.pdf|en;Link to dedicated webpage on official website|https://www.sustainability.gov/federalsustainabilityplan/index.html|en</t>
  </si>
  <si>
    <t>The Environmental Management and Conservation Act No. 12 as amended by The Environmental Management and Conservation (Amendment) Act No. 28</t>
  </si>
  <si>
    <t>Institutions / Administrative Arrangements;Research And Development</t>
  </si>
  <si>
    <t>Environment;Health</t>
  </si>
  <si>
    <t>24/01/2011|Law passed</t>
  </si>
  <si>
    <t>Full text|https://climate-laws.org/rails/active_storage/blobs/eyJfcmFpbHMiOnsibWVzc2FnZSI6IkJBaHBBa1FJIiwiZXhwIjpudWxsLCJwdXIiOiJibG9iX2lkIn19--089018cf4b5b08ccd9dcae23f20d3eafedd88808/f|;Full text - part 2|https://climate-laws.org/rails/active_storage/blobs/eyJfcmFpbHMiOnsibWVzc2FnZSI6IkJBaHBBa1VJIiwiZXhwIjpudWxsLCJwdXIiOiJibG9iX2lkIn19--0609ec8856eb6c1376c0a6b3be3e21e09c5b3434/f|</t>
  </si>
  <si>
    <t>Decree 4.586 creating the National Committee of Green Climate Fund and related decree no 4.585</t>
  </si>
  <si>
    <t>Finance;Public Sector</t>
  </si>
  <si>
    <t>21/09/2021|Approved||</t>
  </si>
  <si>
    <t>Link to gazette 42.217|https://www.ojdt.com.ve/archivos/gacetas/2021-10/42.217.pdf|es;Link to gazette 42.246|https://www.gacetaoficial.io/venezuela/descarga/2021-go-42246.pdf|es</t>
  </si>
  <si>
    <t>Law on Natural Disaster Prevention and Control No. 33/2013/QH13 and Decree No. 66/2021/ND-CP</t>
  </si>
  <si>
    <t>19/06/2019|Law passed||;06/07/2021|Amending decree adopted||</t>
  </si>
  <si>
    <t>Full text (PDF)|https://climate-laws.org/rails/active_storage/blobs/eyJfcmFpbHMiOnsibWVzc2FnZSI6IkJBaHBBZ01HIiwiZXhwIjpudWxsLCJwdXIiOiJibG9iX2lkIn19--1a9e02a947b3c582c36d7a2a2bb6133b2deb252b/f|vi;Full text of amending decree (PDF)|https://climate-laws.org/rails/active_storage/blobs/eyJfcmFpbHMiOnsibWVzc2FnZSI6IkJBaHBBaWdPIiwiZXhwIjpudWxsLCJwdXIiOiJibG9iX2lkIn19--d59e4b7a922c7709500274c26d7e3086f36632b6/66.signed.pdf|vi</t>
  </si>
  <si>
    <t>Resolution 24/NQ-TW: Active response to climate change, improvement of natural resource management and environmental protection</t>
  </si>
  <si>
    <t>05/07/2013|Law passed</t>
  </si>
  <si>
    <t>Full text|https://climate-laws.org/rails/active_storage/blobs/eyJfcmFpbHMiOnsibWVzc2FnZSI6IkJBaHBBandJIiwiZXhwIjpudWxsLCJwdXIiOiJibG9iX2lkIn19--fe8be8e5c08d3210a17367d8c813d3f523b3bf55/f|vi;English translation|https://climate-laws.org/rails/active_storage/blobs/eyJfcmFpbHMiOnsibWVzc2FnZSI6IkJBaHBBczRLIiwiZXhwIjpudWxsLCJwdXIiOiJibG9iX2lkIn19--564294597b42c03b3407c4fd693e54f219c27446/1792%20English.pdf|en</t>
  </si>
  <si>
    <t>Vietnam's Green Growth Strategy and related PM Decisions</t>
  </si>
  <si>
    <t>Adaptation;Institutions / Administrative Arrangements;Research And Development;Redd+ And Lulucf;Transportation</t>
  </si>
  <si>
    <t>Economy-wide;Energy;Transportation;Water</t>
  </si>
  <si>
    <t>04/07/2012|Law passed||;20/03/2014|Approved||;23/04/2015|Approved||;31/10/2017|Approved||</t>
  </si>
  <si>
    <t>Full text|https://climate-laws.org/rails/active_storage/blobs/eyJfcmFpbHMiOnsibWVzc2FnZSI6IkJBaHBBa01JIiwiZXhwIjpudWxsLCJwdXIiOiJibG9iX2lkIn19--2aef2baad4ed02f7170ab7ad0565f5d17c554455/f|vi;English translation|https://climate-laws.org/rails/active_storage/blobs/eyJfcmFpbHMiOnsibWVzc2FnZSI6IkJBaHBBczhLIiwiZXhwIjpudWxsLCJwdXIiOiJibG9iX2lkIn19--1821bc35e30e45348d319d985e75001472b2f8a7/1793%20English.pdf|en;Full text PM Decision No.403/2014 (PDF)|https://climate-laws.org/rails/active_storage/blobs/eyJfcmFpbHMiOnsibWVzc2FnZSI6IkJBaHBBZ2NOIiwiZXhwIjpudWxsLCJwdXIiOiJibG9iX2lkIn19--adea143062be9b0a6260f045d6dd658106d286ad/2014%20PM%20Decision%20403_National%20Action%20Plan%20on%20Green%20Growth%202014_2020.pdf|en;Full text PM Decision No.965/2015 (WORD)|https://climate-laws.org/rails/active_storage/blobs/eyJfcmFpbHMiOnsibWVzc2FnZSI6IkJBaHBBZ2dOIiwiZXhwIjpudWxsLCJwdXIiOiJibG9iX2lkIn19--d17560bc697a70fb62bfca229c2d0ea826598d17/2015%20MONRE%20Decision_965_2015_QD_BTNMT_qdbtnmt_National%20Green%20Growth%20Strategy%20for%202015_2020.docx|en;Full text PM Decision No.1670/2017|https://climate-laws.org/rails/active_storage/blobs/eyJfcmFpbHMiOnsibWVzc2FnZSI6IkJBaHBBZ2tOIiwiZXhwIjpudWxsLCJwdXIiOiJibG9iX2lkIn19--f6096e430bda67b893c9677907a9c1637b109611/2017%20PM%20Decision%201670_QD-TTg_365899_CC%20and%20Green%20Growth%20Strategy_2016-2020_EN_GT.pdf|en</t>
  </si>
  <si>
    <t>Decision No.799/QĐ-TTg approving the national REDD action programme and Decision 419/QĐ -TTg</t>
  </si>
  <si>
    <t>Tax incentives|Economic;Nature based solutions and ecosystem restoration|Direct Investment;Processes, plans and strategies|Governance</t>
  </si>
  <si>
    <t>Redd+ And Lulucf;Deforestation</t>
  </si>
  <si>
    <t>04/07/2012|Law passed||;05/04/2017|Amended||</t>
  </si>
  <si>
    <t>Full text of Decision 799/QD-TTg|https://climate-laws.org/rails/active_storage/blobs/eyJfcmFpbHMiOnsibWVzc2FnZSI6IkJBaHBBam9JIiwiZXhwIjpudWxsLCJwdXIiOiJibG9iX2lkIn19--5068338e35c1be8360725f0113a7ddfa83827c59/f|vi;English translation of Decision 799/QD-TTg|https://climate-laws.org/rails/active_storage/blobs/eyJfcmFpbHMiOnsibWVzc2FnZSI6IkJBaHBBdEFLIiwiZXhwIjpudWxsLCJwdXIiOiJibG9iX2lkIn19--c10efd4b765af888eb021307fc3ac2b991a46426/1794%20English.pdf|en;FAO link to Decision 419/QĐ -TTg|http://extwprlegs1.fao.org/docs/pdf/vie189912.pdf|en</t>
  </si>
  <si>
    <t>Law on Economical and Efficient Use of Energy No: 50/2010/QH12 (as regulated by Decree 21/2011/ND-CP on the Law on Economical and Efficient Use of Energy and Measures for its Implementation)</t>
  </si>
  <si>
    <t>Agriculture;Economy-wide;Energy;Industry;Transportation</t>
  </si>
  <si>
    <t>01/01/2010|Law passed</t>
  </si>
  <si>
    <t>Full text|https://climate-laws.org/rails/active_storage/blobs/eyJfcmFpbHMiOnsibWVzc2FnZSI6IkJBaHBBak1JIiwiZXhwIjpudWxsLCJwdXIiOiJibG9iX2lkIn19--117b5e22e047831a7be30270e72ae2aa73bfa67d/f|;Full text - part 2|https://climate-laws.org/rails/active_storage/blobs/eyJfcmFpbHMiOnsibWVzc2FnZSI6IkJBaHBBalFJIiwiZXhwIjpudWxsLCJwdXIiOiJibG9iX2lkIn19--6692b8dc6796af1c803391cef6ee5f25bce18227/f|</t>
  </si>
  <si>
    <t>Decision No. 158/2008/QD-TTg on the Approval of the National Target Programme to Respond to Climate Change</t>
  </si>
  <si>
    <t>Standards, obligations and norms|Regulation;Capacity building|Governance;Processes, plans and strategies|Governance;International cooperation|Governance;Research &amp; Development, knowledge generation|Information</t>
  </si>
  <si>
    <t>30/06/2008|Law passed||</t>
  </si>
  <si>
    <t>Full text|https://climate-laws.org/rails/active_storage/blobs/eyJfcmFpbHMiOnsibWVzc2FnZSI6IkJBaHBBallJIiwiZXhwIjpudWxsLCJwdXIiOiJibG9iX2lkIn19--896918685b3a012321c7f7872e03a9fa57312bf6/f|vi;English translation|https://climate-laws.org/rails/active_storage/blobs/eyJfcmFpbHMiOnsibWVzc2FnZSI6IkJBaHBBdEVLIiwiZXhwIjpudWxsLCJwdXIiOiJibG9iX2lkIn19--7c36e70dc3bc1fc0ff72a49a0dc776ce06a99f25/1799%20English.pdf|en</t>
  </si>
  <si>
    <t>National Target Program on Efficient Use and Saving Energy (EUSE), approved by Decision 79/2006/QD-TTg</t>
  </si>
  <si>
    <t>28/06/2006|Law passed||</t>
  </si>
  <si>
    <t>Full text|https://climate-laws.org/rails/active_storage/blobs/eyJfcmFpbHMiOnsibWVzc2FnZSI6IkJBaHBBakVJIiwiZXhwIjpudWxsLCJwdXIiOiJibG9iX2lkIn19--0357a6bda747097d2671f2a23ed5c77059c9f545/f|vi;English translation|https://climate-laws.org/rails/active_storage/blobs/eyJfcmFpbHMiOnsibWVzc2FnZSI6IkJBaHBBdElLIiwiZXhwIjpudWxsLCJwdXIiOiJibG9iX2lkIn19--1313d855270c7f36717a0477b1bc9ab8045e756b/1803%20English.pdf|en</t>
  </si>
  <si>
    <t>Decision 11/2017/QD-TTg of the Prime Minister on the mechanism for encouragement of the development of solar power projects and Decision 13/2020/QD-TTg setting out a legal framework for the next generation of solar power projects</t>
  </si>
  <si>
    <t>11/04/2017|Document passed||;06/04/2020|Document amended||;17/07/2020|Amended||</t>
  </si>
  <si>
    <t>Full text|https://climate-laws.org/rails/active_storage/blobs/eyJfcmFpbHMiOnsibWVzc2FnZSI6IkJBaHBBb2tHIiwiZXhwIjpudWxsLCJwdXIiOiJibG9iX2lkIn19--884b1527369523dc7550358e11616e0f1f216f70/f|vi;Link to text on external source|https://thuvienphapluat.vn/van-ban/tai-nguyen-moi-truong/Quyet-dinh-13-2020-QD-TTg-co-che-khuyen-khich-phat-trien-dien-mat-troi-tai-Viet-Nam-439160.aspx|vi;Link to Circular no. 18 on external website|https://thuvienphapluat.vn/van-ban/dau-tu/Thong-tu-18-2020-TT-BCT-hop-dong-mua-ban-dien-mau-ap-dung-cho-du-an-dien-mat-troi-448189.aspx|vi;Full text translation (WORD)|https://climate-laws.org/rails/active_storage/blobs/eyJfcmFpbHMiOnsibWVzc2FnZSI6IkJBaHBBZ29OIiwiZXhwIjpudWxsLCJwdXIiOiJibG9iX2lkIn19--2e885e0e4e63a2c02540ccf410df7d8885d9c216/2017%20PM%20Decision%2011_2017_q%C4%91ttg%202017_Mechanism%20for%20Encouraging%20Solar%20Power%20Development.docx|en</t>
  </si>
  <si>
    <t>Decree 119/2016/ND-CP and PM Decision 120/2015 on Sustainable Management, Protection and Development of Coastal Forests</t>
  </si>
  <si>
    <t>Nature based solutions and ecosystem restoration|Direct Investment;Processes, plans and strategies|Governance;Education, training and knowledge dissemination|Information;Research &amp; Development, knowledge generation|Information</t>
  </si>
  <si>
    <t>Soil Erosion;Coastal Erosion</t>
  </si>
  <si>
    <t>Forest</t>
  </si>
  <si>
    <t>Coastal zones;LULUCF</t>
  </si>
  <si>
    <t>22/01/2015|Approved||;23/08/2016|Approved||</t>
  </si>
  <si>
    <t>Unofficial translation of Decree No.119/2016/ND-CP (WORD)|https://climate-laws.org/rails/active_storage/blobs/eyJfcmFpbHMiOnsibWVzc2FnZSI6IkJBaHBBdjBNIiwiZXhwIjpudWxsLCJwdXIiOiJibG9iX2lkIn19--c359bf772c4c06ec95a212a061f93f70ce96c156/2016%20Decree%20119_N%C4%90CP_Policies%20on%20Sustainable%20Management%20and%20Protection%20of%20Coastal%20Forests%20Against%20Climate%20Change_Google%20Translation.docx|en;Full text PM Decision No.120/2015 (WORD)|https://climate-laws.org/rails/active_storage/blobs/eyJfcmFpbHMiOnsibWVzc2FnZSI6IkJBaHBBZ0VOIiwiZXhwIjpudWxsLCJwdXIiOiJibG9iX2lkIn19--6fde6382e53fbf844f16cdcb04202a6e8d7bcb04/2015%20PM%20Decision%20120_qdttg_Approving%20Projects%20to%20Protect%20and%20Develop%20Coastal%20Forests%20for%20Climate%20Change%20Adaptation_2015_2020.docx|en</t>
  </si>
  <si>
    <t>Decision 622/QĐ-TTg approving the National Action Plan for the Implementation of 2030 Agenda for Sustainable Development</t>
  </si>
  <si>
    <t>Sd Gs</t>
  </si>
  <si>
    <t>10/05/2017|Approved||</t>
  </si>
  <si>
    <t>Link to English version (PDF)|https://vietnam.un.org/sites/default/files/2020-08/ke%20hoach%20hanh%20dong%20quoc%20gia_04-07-ENG_CHXHCNVN.pdf|en;Link to Vietnamese version (PDF)|https://vietnam.un.org/sites/default/files/2020-08/ke%20hoach%20hanh%20dong%20quoc%20gia_04-07_VN_CHXHCNVN%20%281%29.pdf|vi</t>
  </si>
  <si>
    <t>National Agriculture Policy 2012-2030</t>
  </si>
  <si>
    <t>01/08/2011|Law passed</t>
  </si>
  <si>
    <t>full text (pdf)|http://www.lse.ac.uk/GranthamInstitute/wp-content/uploads/laws/4845.pdf|en;official document (pdf)|http://cbz.org.zm/public/downloads/SECOND-NATIONAL-AGRICULTURAL-POLICY-2016.pdf|en</t>
  </si>
  <si>
    <t>National Strategy for the Environment</t>
  </si>
  <si>
    <t>Adaptation;Transportation</t>
  </si>
  <si>
    <t>08/10/2006|Law passed</t>
  </si>
  <si>
    <t>Full text|http://www.sce.gov.bh/en/NationalStrategyforEnvironment?cms=iQRpheuphYtJ6pyXUGiNqkP7woZPUrlc(9-feb-18),http://www.sce.gov.bh/Media/Documents/Startegy/Environment%20National%20Startegy-%202006.pdf(9-feb-18),|</t>
  </si>
  <si>
    <t>Decree 1073/2015 issuing the Regulatory Decree of the Mining and Energy Administrative Sector and Decree 0570/2018 on electricity generation</t>
  </si>
  <si>
    <t>26/05/2015|Law passed;23/03/2018|Law amended</t>
  </si>
  <si>
    <t>Full text|https://www.minminas.gov.co/documents/10180/170046/Decreto+%F2nico+Reglamentario+Sector+Minas+y+Energ%92a.pdf/8f19ed1d-16a0-4a09-8213-ae612e424392(7-mar-18),https://www.minminas.gov.co/documents/10180/23517/47726-dec_0570_230318.pdf(17-apr-18)|</t>
  </si>
  <si>
    <t>Law 1819/2016 on tax deductions for renewables and carbon tax</t>
  </si>
  <si>
    <t>Agriculture;Energy;Transportation;Waste</t>
  </si>
  <si>
    <t>29/12/2016|Law passed||</t>
  </si>
  <si>
    <t>Full text|http://servicios.minminas.gov.co/compilacionnormativa/docs/pdf/ley_1819_2016.pdf(7-mar-18),http://www.secretariasenado.gov.co/senado/basedoc/ley_1819_2016.html(7-mar-18),|</t>
  </si>
  <si>
    <t>Global Strategy for a Sustainable Mobility (MODU)</t>
  </si>
  <si>
    <t>Transportation;Urban</t>
  </si>
  <si>
    <t>17/02/2012|Law passed</t>
  </si>
  <si>
    <t>Full text|http://www.mt.public.lu/planification_mobilite/1strategie_modu/Strategie_pour_une_mobilite_durable_Version_integrale_MODU.pdf(12-feb-18),http://www.mt.public.lu/planification_mobilite/1strategie_modu/index.html(12-feb-18),|</t>
  </si>
  <si>
    <t>Organic Law of the Federal Public Administration</t>
  </si>
  <si>
    <t>29/12/1976|Law passed||;11/08/2014|Revision||;09/03/2018|Last amendment||</t>
  </si>
  <si>
    <t>Full text|http://www.diputados.gob.mx/LeyesBiblio/ref/loapf.htm(24-mar-18),http://www.diputados.gob.mx/LeyesBiblio/pdf/153_090318.pdf(24-mar-18)|</t>
  </si>
  <si>
    <t>Environmental Protection Act</t>
  </si>
  <si>
    <t>Full text|http://prdrse4all.spc.int/node/4/content/federated-states-micronesia-environmental-protection-act-chapter-5-general-provisions(6-mar-18),http://prdrse4all.spc.int/system/files/environmental_protection_act_0.pdf(6-mar-18)|</t>
  </si>
  <si>
    <t>27/03/2018|Law passed</t>
  </si>
  <si>
    <t>Full text|https://www.rijksoverheid.nl/ministeries/ministerie-van-economische-zaken-en-klimaat/documenten/kamerstukken/2018/03/27/kamerbrief-routekaart-windenergie-op-zee-2030(27-apr-18),https://english.rvo.nl/sites/default/files/2018/03/Brief%20routekaart%20windenergie%20op%20zee%202024-2030%20-%20EN.pdf(27-apr-18)|</t>
  </si>
  <si>
    <t>Government Decision no. 739/2016 approving the National Climate Change and Low Carbon Green Growth Strategy 2016-2020 and National Action Plan for Implementation of the Strategy</t>
  </si>
  <si>
    <t>05/10/2016|Law passed||</t>
  </si>
  <si>
    <t>Full text|http://www.asrm.ro/pdf/noutati/noutati_legislative-octombrie-2016/HG%20739_2016%20strategie%20schimbari%20climatice.pdf(6-mar-18),http://mmediu.ro/categorie/strategia-nationala-privind-schimbarile-climatice-rezumat/171(6-mar-18),|</t>
  </si>
  <si>
    <t>Law no 63/2013 determining the mission, organization and functioning of Rwanda Environment Management Authority</t>
  </si>
  <si>
    <t>27/08/2013|Law passed</t>
  </si>
  <si>
    <t>Full text|http://rema.gov.rw/rema_doc/Laws/Itegeko%20rishya%20rya%20REMA.pdf(6-mar-18),http://www.lse.ac.uk/GranthamInstitute/rwanda-law-itegeko-rishya-rya-rema/(6-mar-18)|</t>
  </si>
  <si>
    <t>Royal Decrees on the Spanish Office for Climate Change (371/2001, 1000/2003, 1477/2004, 1334/2006, 424/2016, 895/2017)</t>
  </si>
  <si>
    <t>06/04/2001|Law passed;06/10/2017|Last amendment</t>
  </si>
  <si>
    <t>Full tex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t>
  </si>
  <si>
    <t>Royal Decree creating the Interministerial Commission for Climate Change</t>
  </si>
  <si>
    <t>30/12/2011|Law passed</t>
  </si>
  <si>
    <t>Full text|http://www.mapama.gob.es/es/cambio-climatico/temas/organismos-e-instituciones-implicados-en-la-lucha-contra-el-cambio-climatico-a-nivel-nacional/BOE-A-2011-20640_tcm7-188660.pdf(6-mar-18),http://www.mapama.gob.es/es/cambio-climatico/temas/organismos-e-instituciones-implicados-en-la-lucha-contra-el-cambio-climatico-a-nivel-nacional/comision-delegada-del-gobierno-para-el-cambio-climatico/default.aspx(6-mar-18)|</t>
  </si>
  <si>
    <t>08/07/2009|Law passed</t>
  </si>
  <si>
    <t>Full text|https://law.moj.gov.tw/LawClass/LawContent.aspx?PCODE=J0130032(12-mar-18),http://law.moj.gov.tw/Eng/LawClass/LawAll.aspx?PCode=J0130032(12-mar-18)|</t>
  </si>
  <si>
    <t>Decree-Laws 644 and 648 on the organisation and duties of the Ministry of Environment and Urban Planning</t>
  </si>
  <si>
    <t>Standards, obligations and norms|Regulation;Processes, plans and strategies|Governance;Education, training and knowledge dissemination|Information;Research &amp; Development, knowledge generation|Information</t>
  </si>
  <si>
    <t>Transportation;Water</t>
  </si>
  <si>
    <t>29/06/2011|Law passed</t>
  </si>
  <si>
    <t>Full text|http://www.resmigazete.gov.tr/eskiler/2011/07/20110704M1-1.htm(12-mar-18),http://www.resmigazete.gov.tr/eskiler/2011/08/20110817-1-1.htm(12-mar-18),http://www.resmigazete.gov.tr/eskiler/2018/01/20180104-2.htm(7-mar-18)|</t>
  </si>
  <si>
    <t>Comments</t>
  </si>
  <si>
    <t>FUSION ENERGY DEVELOPMENT PROMOTION ACT</t>
  </si>
  <si>
    <t>https://climate-laws.org/rails/active_storage/blobs/eyJfcmFpbHMiOnsibWVzc2FnZSI6IkJBaHBBdHdFIiwiZXhwIjpudWxsLCJwdXIiOiJibG9iX2lkIn19--b0aae03b218eb3ec05994961d832606b678d6fbe/f|</t>
  </si>
  <si>
    <t>https://climate-laws.org/rails/active_storage/blobs/eyJfcmFpbHMiOnsibWVzc2FnZSI6IkJBaHBBdHdFIiwiZXhwIjpudWxsLCJwdXIiOiJibG9iX2lkIn19--b0aae03b218eb3ec05994961d832606b678d6fbe/f</t>
  </si>
  <si>
    <t>Stef</t>
  </si>
  <si>
    <t>NUCLEAR ENERGY PROMOTION ACT</t>
  </si>
  <si>
    <t>https://climate-laws.org/rails/active_storage/blobs/eyJfcmFpbHMiOnsibWVzc2FnZSI6IkJBaHBBdDBFIiwiZXhwIjpudWxsLCJwdXIiOiJibG9iX2lkIn19--e43700760b4162f4b25c82b194954befdd17d490/f|</t>
  </si>
  <si>
    <t>https://climate-laws.org/rails/active_storage/blobs/eyJfcmFpbHMiOnsibWVzc2FnZSI6IkJBaHBBdDBFIiwiZXhwIjpudWxsLCJwdXIiOiJibG9iX2lkIn19--e43700760b4162f4b25c82b194954befdd17d490/f</t>
  </si>
  <si>
    <t>STORM AND FLOOD INSURANCE ACT</t>
  </si>
  <si>
    <t>https://climate-laws.org/rails/active_storage/blobs/eyJfcmFpbHMiOnsibWVzc2FnZSI6IkJBaHBBdG9FIiwiZXhwIjpudWxsLCJwdXIiOiJibG9iX2lkIn19--7c1ac8e77b149850958f84d29b3e8ca216e8ffef/f|</t>
  </si>
  <si>
    <t>https://climate-laws.org/rails/active_storage/blobs/eyJfcmFpbHMiOnsibWVzc2FnZSI6IkJBaHBBdG9FIiwiZXhwIjpudWxsLCJwdXIiOiJibG9iX2lkIn19--7c1ac8e77b149850958f84d29b3e8ca216e8ffef/f</t>
  </si>
  <si>
    <t>О внесении изменений в Федеральный закон "Об охране окружающей среды" и отдельные законодательные акты Российской Федерации</t>
  </si>
  <si>
    <t>http://pravo.gov.ru/proxy/ips/?docbody=&amp;nd=102356583&amp;rdk=|</t>
  </si>
  <si>
    <t>http://pravo.gov.ru/proxy/ips/?docbody=&amp;nd=102356583&amp;rdk=</t>
  </si>
  <si>
    <t>The Korean New Deal</t>
  </si>
  <si>
    <t>https://english.moef.go.kr/pc/selectTbPressCenterDtl.do?boardCd=N0001&amp;seq=4948|en</t>
  </si>
  <si>
    <t>https://english.moef.go.kr/pc/selectTbPressCenterDtl.do?boardCd=N0001&amp;seq=4948</t>
  </si>
  <si>
    <t>https://climate-laws.org/rails/active_storage/blobs/eyJfcmFpbHMiOnsibWVzc2FnZSI6IkJBaHBBaDRPIiwiZXhwIjpudWxsLCJwdXIiOiJibG9iX2lkIn19--1cf283c54706262064526f5c192d9b504b1fd4ee/Korean%20New%20Deal.pdf|en</t>
  </si>
  <si>
    <t>https://climate-laws.org/rails/active_storage/blobs/eyJfcmFpbHMiOnsibWVzc2FnZSI6IkJBaHBBaDRPIiwiZXhwIjpudWxsLCJwdXIiOiJibG9iX2lkIn19--1cf283c54706262064526f5c192d9b504b1fd4ee/Korean%20New%20Deal.pdf</t>
  </si>
  <si>
    <t>2050 탄소중립위원회의 설치 및 운영에 관한 규정</t>
  </si>
  <si>
    <t>https://climate-laws.org/rails/active_storage/blobs/eyJfcmFpbHMiOnsibWVzc2FnZSI6IkJBaHBBdUVPIiwiZXhwIjpudWxsLCJwdXIiOiJibG9iX2lkIn19--918217974b2e6c082d2461dd372baf35bda5f7d4/lsPdfPrint.do.pdf|ko</t>
  </si>
  <si>
    <t>https://climate-laws.org/rails/active_storage/blobs/eyJfcmFpbHMiOnsibWVzc2FnZSI6IkJBaHBBdUVPIiwiZXhwIjpudWxsLCJwdXIiOiJibG9iX2lkIn19--918217974b2e6c082d2461dd372baf35bda5f7d4/lsPdfPrint.do.pdf</t>
  </si>
  <si>
    <t>https://www.2050cnc.go.kr/base/contents/view?contentsNo=7&amp;menuLevel=2&amp;menuNo=1|ko</t>
  </si>
  <si>
    <t>https://www.2050cnc.go.kr/base/contents/view?contentsNo=7&amp;menuLevel=2&amp;menuNo=1</t>
  </si>
  <si>
    <t>2050 탄소중립 시나리오안</t>
  </si>
  <si>
    <t>https://climate-laws.org/rails/active_storage/blobs/eyJfcmFpbHMiOnsibWVzc2FnZSI6IkJBaHBBdVFPIiwiZXhwIjpudWxsLCJwdXIiOiJibG9iX2lkIn19--267a097f1837a12618c4441f77aa878f1486c2a0/2050%20%ED%83%84%EC%86%8C%EC%A4%91%EB%A6%BD%20%EC%8B%9C%EB%82%98%EB%A6%AC%EC%98%A4%EC%95%88.pdf|ko</t>
  </si>
  <si>
    <t>https://climate-laws.org/rails/active_storage/blobs/eyJfcmFpbHMiOnsibWVzc2FnZSI6IkJBaHBBdVFPIiwiZXhwIjpudWxsLCJwdXIiOiJibG9iX2lkIn19--267a097f1837a12618c4441f77aa878f1486c2a0/2050%20%ED%83%84%EC%86%8C%EC%A4%91%EB%A6%BD%20%EC%8B%9C%EB%82%98%EB%A6%AC%EC%98%A4%EC%95%88.pdf</t>
  </si>
  <si>
    <t>2030 국가 온실가스 감축목표(NDC) 상향안</t>
  </si>
  <si>
    <t>https://climate-laws.org/rails/active_storage/blobs/eyJfcmFpbHMiOnsibWVzc2FnZSI6IkJBaHBBdVVPIiwiZXhwIjpudWxsLCJwdXIiOiJibG9iX2lkIn19--5a23d89d3248dcff2cc6081572c79252b6a8003f/2030%20%EA%B5%AD%EA%B0%80%20%EC%98%A8%EC%8B%A4%EA%B0%80%EC%8A%A4%20%EA%B0%90%EC%B6%95%EB%AA%A9%ED%91%9C(NDC)%20%EC%83%81%ED%96%A5%EC%95%88.pdf|ko</t>
  </si>
  <si>
    <t>https://climate-laws.org/rails/active_storage/blobs/eyJfcmFpbHMiOnsibWVzc2FnZSI6IkJBaHBBdVVPIiwiZXhwIjpudWxsLCJwdXIiOiJibG9iX2lkIn19--5a23d89d3248dcff2cc6081572c79252b6a8003f/2030%20%EA%B5%AD%EA%B0%80%20%EC%98%A8%EC%8B%A4%EA%B0%80%EC%8A%A4%20%EA%B0%90%EC%B6%95%EB%AA%A9%ED%91%9C(NDC)%20%EC%83%81%ED%96%A5%EC%95%88.pdf</t>
  </si>
  <si>
    <t>Ley 2/2011, de 4 de marzo, de Economía Sostenible</t>
  </si>
  <si>
    <t>https://www.boe.es/buscar/pdf/2011/BOE-A-2011-4117-consolidado.pdf|</t>
  </si>
  <si>
    <t>https://www.boe.es/buscar/pdf/2011/BOE-A-2011-4117-consolidado.pdf</t>
  </si>
  <si>
    <t>BOLETÍN OFICIAL DEL ESTADO</t>
  </si>
  <si>
    <t>Discussion paper</t>
  </si>
  <si>
    <t>https://climate-laws.org/rails/active_storage/blobs/eyJfcmFpbHMiOnsibWVzc2FnZSI6IkJBaHBBcDRJIiwiZXhwIjpudWxsLCJwdXIiOiJibG9iX2lkIn19--7f4b9b06793f0493c80cf11e4427f27faf7bf969/f|</t>
  </si>
  <si>
    <t>https://climate-laws.org/rails/active_storage/blobs/eyJfcmFpbHMiOnsibWVzc2FnZSI6IkJBaHBBcDRJIiwiZXhwIjpudWxsLCJwdXIiOiJibG9iX2lkIn19--7f4b9b06793f0493c80cf11e4427f27faf7bf969/f</t>
  </si>
  <si>
    <t>SPANISH CLIMATE CHANGE AND CLEAN ENERGY STRATEGY HORIZON 2007- 2012 -2020</t>
  </si>
  <si>
    <t>http://www.lse.ac.uk/GranthamInstitute/wp-content/uploads/laws/1674%20English.pdf|en</t>
  </si>
  <si>
    <t>http://www.lse.ac.uk/GranthamInstitute/wp-content/uploads/laws/1674%20English.pdf</t>
  </si>
  <si>
    <t>ESTRATEGIA ESPAÑOLA DE CAMBIO CLIMÁTICO Y ENERGÍA LIMPIA HORIZONTE 2007- 2012 -2020</t>
  </si>
  <si>
    <t>https://climate-laws.org/rails/active_storage/blobs/eyJfcmFpbHMiOnsibWVzc2FnZSI6IkJBaHBBclVLIiwiZXhwIjpudWxsLCJwdXIiOiJibG9iX2lkIn19--0389b20592032a285dc31b2977adf54b040d8b98/1674%20Spanish.pdf|es</t>
  </si>
  <si>
    <t>https://climate-laws.org/rails/active_storage/blobs/eyJfcmFpbHMiOnsibWVzc2FnZSI6IkJBaHBBclVLIiwiZXhwIjpudWxsLCJwdXIiOiJibG9iX2lkIn19--0389b20592032a285dc31b2977adf54b040d8b98/1674%20Spanish.pdf</t>
  </si>
  <si>
    <t>Real Decreto 177/1998, de 16 de febrero, por el que se crea el Consejo Nacional del Clima.</t>
  </si>
  <si>
    <t>https://www.boe.es/diario_boe/txt.php?id=BOE-A-1998-3735|es</t>
  </si>
  <si>
    <t>https://www.boe.es/diario_boe/txt.php?id=BOE-A-1998-3735</t>
  </si>
  <si>
    <t>REAL DECRETO 1188/2001, de 2 de noviembre, por el que se regula la composición y funciones del Consejo Nacional del Clima.</t>
  </si>
  <si>
    <t>https://climate-laws.org/rails/active_storage/blobs/eyJfcmFpbHMiOnsibWVzc2FnZSI6IkJBaHBBalVHIiwiZXhwIjpudWxsLCJwdXIiOiJibG9iX2lkIn19--aa0b9539eab4ba5244aebe6153fd8a80ace6c5e7/f|es</t>
  </si>
  <si>
    <t>https://climate-laws.org/rails/active_storage/blobs/eyJfcmFpbHMiOnsibWVzc2FnZSI6IkJBaHBBalVHIiwiZXhwIjpudWxsLCJwdXIiOiJibG9iX2lkIn19--aa0b9539eab4ba5244aebe6153fd8a80ace6c5e7/f</t>
  </si>
  <si>
    <t>Real Decreto 415/2014, de 6 de junio, por el que se regula la composición y funciones del Consejo Nacional del Clima</t>
  </si>
  <si>
    <t>https://climate-laws.org/rails/active_storage/blobs/eyJfcmFpbHMiOnsibWVzc2FnZSI6IkJBaHBBallHIiwiZXhwIjpudWxsLCJwdXIiOiJibG9iX2lkIn19--2606fa879c55336719329cbbd42745183e8d86ea/f|es</t>
  </si>
  <si>
    <t>https://climate-laws.org/rails/active_storage/blobs/eyJfcmFpbHMiOnsibWVzc2FnZSI6IkJBaHBBallHIiwiZXhwIjpudWxsLCJwdXIiOiJibG9iX2lkIn19--2606fa879c55336719329cbbd42745183e8d86ea/f</t>
  </si>
  <si>
    <t>http://www.mapama.gob.es/es/cambio-climatico/temas/organismos-e-instituciones-implicados-en-la-lucha-contra-el-cambio-climatico-a-nivel-nacional/el-consejo-nacional-del-clima/default.aspx|es</t>
  </si>
  <si>
    <t>http://www.mapama.gob.es/es/cambio-climatico/temas/organismos-e-instituciones-implicados-en-la-lucha-contra-el-cambio-climatico-a-nivel-nacional/el-consejo-nacional-del-clima/default.aspx</t>
  </si>
  <si>
    <t>Ley 1/2005, de 9 de marzo, por la que se regula el régimen del comercio de derechos de emisión de gases de efecto invernadero.</t>
  </si>
  <si>
    <t>https://www.boe.es/eli/es/l/2005/03/09/1/con|</t>
  </si>
  <si>
    <t>https://www.boe.es/eli/es/l/2005/03/09/1/con</t>
  </si>
  <si>
    <t>REAL DECRETO 1315/2005</t>
  </si>
  <si>
    <t>https://climate-laws.org/rails/active_storage/blobs/eyJfcmFpbHMiOnsibWVzc2FnZSI6IkJBaHBBalFKIiwiZXhwIjpudWxsLCJwdXIiOiJibG9iX2lkIn19--b79c4319a8330086b9e30fa71245d2f9244ec5e9/f|</t>
  </si>
  <si>
    <t>https://climate-laws.org/rails/active_storage/blobs/eyJfcmFpbHMiOnsibWVzc2FnZSI6IkJBaHBBalFKIiwiZXhwIjpudWxsLCJwdXIiOiJibG9iX2lkIn19--b79c4319a8330086b9e30fa71245d2f9244ec5e9/f</t>
  </si>
  <si>
    <t>REAL DECRETO 1264/2005</t>
  </si>
  <si>
    <t>https://climate-laws.org/rails/active_storage/blobs/eyJfcmFpbHMiOnsibWVzc2FnZSI6IkJBaHBBalVKIiwiZXhwIjpudWxsLCJwdXIiOiJibG9iX2lkIn19--55d1e88dce6535d190d8086037ef11fb18663361/f|</t>
  </si>
  <si>
    <t>https://climate-laws.org/rails/active_storage/blobs/eyJfcmFpbHMiOnsibWVzc2FnZSI6IkJBaHBBalVKIiwiZXhwIjpudWxsLCJwdXIiOiJibG9iX2lkIn19--55d1e88dce6535d190d8086037ef11fb18663361/f</t>
  </si>
  <si>
    <t>PROGRAMA DE ACCIÓN NACIONAL CONTRA LA DESERTIFICACIÓN</t>
  </si>
  <si>
    <t>https://climate-laws.org/rails/active_storage/blobs/eyJfcmFpbHMiOnsibWVzc2FnZSI6IkJBaHBBaWtGIiwiZXhwIjpudWxsLCJwdXIiOiJibG9iX2lkIn19--ab00a3c4da0885daf6c12632d9b1bc2b0fbcc423/f|</t>
  </si>
  <si>
    <t>https://climate-laws.org/rails/active_storage/blobs/eyJfcmFpbHMiOnsibWVzc2FnZSI6IkJBaHBBaWtGIiwiZXhwIjpudWxsLCJwdXIiOiJibG9iX2lkIn19--ab00a3c4da0885daf6c12632d9b1bc2b0fbcc423/f</t>
  </si>
  <si>
    <t>ORDEN ARM/2444/2008</t>
  </si>
  <si>
    <t>https://climate-laws.org/rails/active_storage/blobs/eyJfcmFpbHMiOnsibWVzc2FnZSI6IkJBaHBBaW9GIiwiZXhwIjpudWxsLCJwdXIiOiJibG9iX2lkIn19--b9bc25b908203d083cae620ce26b5fb4bb550e57/f|</t>
  </si>
  <si>
    <t>https://climate-laws.org/rails/active_storage/blobs/eyJfcmFpbHMiOnsibWVzc2FnZSI6IkJBaHBBaW9GIiwiZXhwIjpudWxsLCJwdXIiOiJibG9iX2lkIn19--b9bc25b908203d083cae620ce26b5fb4bb550e57/f</t>
  </si>
  <si>
    <t>Ley 45/2007, de 13 de diciembre, para el desarrollo sostenible del medio</t>
  </si>
  <si>
    <t>https://boe.es/buscar/pdf/2007/BOE-A-2007-21493-consolidado.pdf|</t>
  </si>
  <si>
    <t>https://boe.es/buscar/pdf/2007/BOE-A-2007-21493-consolidado.pdf</t>
  </si>
  <si>
    <t>Real Decreto 752/2010, de 4 de junio, por el que se aprueba el primer programa de desarrollo rural sostenible para el período 2010-2014 en aplicación de la Ley 45/2007, de 13 de diciembre, para el desarrollo sostenible del medio rural.</t>
  </si>
  <si>
    <t>https://climate-laws.org/rails/active_storage/blobs/eyJfcmFpbHMiOnsibWVzc2FnZSI6IkJBaHBBaTBGIiwiZXhwIjpudWxsLCJwdXIiOiJibG9iX2lkIn19--d7daf521d9bdfe5ddc2903b1dabce76422b8c946/f|</t>
  </si>
  <si>
    <t>https://climate-laws.org/rails/active_storage/blobs/eyJfcmFpbHMiOnsibWVzc2FnZSI6IkJBaHBBaTBGIiwiZXhwIjpudWxsLCJwdXIiOiJibG9iX2lkIn19--d7daf521d9bdfe5ddc2903b1dabce76422b8c946/f</t>
  </si>
  <si>
    <t>INTEGRATED NATIONAL ENERGY AND CLIMATE PLAN 2021-2030</t>
  </si>
  <si>
    <t>https://ec.europa.eu/energy/sites/ener/files/documents/es_final_necp_main_en.pdf|en</t>
  </si>
  <si>
    <t>https://ec.europa.eu/energy/sites/ener/files/documents/es_final_necp_main_en.pdf</t>
  </si>
  <si>
    <t>PLAN NACIONAL INTEGRADO DE ENERGÍA Y CLIMA 2021-2030</t>
  </si>
  <si>
    <t>https://ec.europa.eu/energy/sites/ener/files/documents/es_final_necp_main_es.pdf|es</t>
  </si>
  <si>
    <t>https://ec.europa.eu/energy/sites/ener/files/documents/es_final_necp_main_es.pdf</t>
  </si>
  <si>
    <t>Plan Nacional de Adaptación al Cambio Climático</t>
  </si>
  <si>
    <t>https://www.miteco.gob.es/es/cambio-climatico/temas/impactos-vulnerabilidad-y-adaptacion/plan-nacional-adaptacion-cambio-climatico/default.aspx|es</t>
  </si>
  <si>
    <t>https://www.miteco.gob.es/es/cambio-climatico/temas/impactos-vulnerabilidad-y-adaptacion/plan-nacional-adaptacion-cambio-climatico/default.aspx</t>
  </si>
  <si>
    <t>https://www.miteco.gob.es/es/cambio-climatico/temas/impactos-vulnerabilidad-y-adaptacion/pnacc-2021-2030_tcm30-512163.pdf|es</t>
  </si>
  <si>
    <t>https://www.miteco.gob.es/es/cambio-climatico/temas/impactos-vulnerabilidad-y-adaptacion/pnacc-2021-2030_tcm30-512163.pdf</t>
  </si>
  <si>
    <t>Real Decreto 960/2020, de 3 de noviembre, por el que se regula el régimen económico de energías renovables para instalaciones de producción de energía eléctrica.</t>
  </si>
  <si>
    <t>https://www.boe.es/diario_boe/txt.php?id=BOE-A-2020-13591|es</t>
  </si>
  <si>
    <t>https://www.boe.es/diario_boe/txt.php?id=BOE-A-2020-13591</t>
  </si>
  <si>
    <t>https://climate-laws.org/rails/active_storage/blobs/eyJfcmFpbHMiOnsibWVzc2FnZSI6IkJBaHBBazhOIiwiZXhwIjpudWxsLCJwdXIiOiJibG9iX2lkIn19--575b260df5d573560c81c5565577307950d49ec6/BOE-A-2020-13591.pdf|es</t>
  </si>
  <si>
    <t>https://climate-laws.org/rails/active_storage/blobs/eyJfcmFpbHMiOnsibWVzc2FnZSI6IkJBaHBBazhOIiwiZXhwIjpudWxsLCJwdXIiOiJibG9iX2lkIn19--575b260df5d573560c81c5565577307950d49ec6/BOE-A-2020-13591.pdf</t>
  </si>
  <si>
    <t>https://climate-laws.org/rails/active_storage/blobs/eyJfcmFpbHMiOnsibWVzc2FnZSI6IkJBaHBBbEFOIiwiZXhwIjpudWxsLCJwdXIiOiJibG9iX2lkIn19--59b38c634ec7410d8f28fb813cf4534685d440b9/es_ltrs_2020.pdf|es</t>
  </si>
  <si>
    <t>https://climate-laws.org/rails/active_storage/blobs/eyJfcmFpbHMiOnsibWVzc2FnZSI6IkJBaHBBbEFOIiwiZXhwIjpudWxsLCJwdXIiOiJibG9iX2lkIn19--59b38c634ec7410d8f28fb813cf4534685d440b9/es_ltrs_2020.pdf</t>
  </si>
  <si>
    <t>Estrategia a largo plazo para la rehabilitación energética en el sector de la edificación en España</t>
  </si>
  <si>
    <t>https://www.mitma.gob.es/el-ministerio/planes-estrategicos/estrategia-a-largo-plazo-para-la-rehabilitacion-energetica-en-el-sector-de-la-edificacion-en-espana|es</t>
  </si>
  <si>
    <t>https://www.mitma.gob.es/el-ministerio/planes-estrategicos/estrategia-a-largo-plazo-para-la-rehabilitacion-energetica-en-el-sector-de-la-edificacion-en-espana</t>
  </si>
  <si>
    <t>https://www.miteco.gob.es/es/calidad-y-evaluacion-ambiental/temas/economia-circular/espanacircular2030_def1_tcm30-509532.PDF|es</t>
  </si>
  <si>
    <t>https://www.miteco.gob.es/es/calidad-y-evaluacion-ambiental/temas/economia-circular/espanacircular2030_def1_tcm30-509532.PDF</t>
  </si>
  <si>
    <t>https://www.miteco.gob.es/es/calidad-y-evaluacion-ambiental/temas/economia-circular/espanacircular_2030_executivesummary_en_tcm30-510578.pdf|en</t>
  </si>
  <si>
    <t>https://www.miteco.gob.es/es/calidad-y-evaluacion-ambiental/temas/economia-circular/espanacircular_2030_executivesummary_en_tcm30-510578.pdf</t>
  </si>
  <si>
    <t>Estrategia de descarbonizacion a largo plazo 2050</t>
  </si>
  <si>
    <t>https://www.miteco.gob.es/es/prensa/documentoelp_tcm30-516109.pdf|es</t>
  </si>
  <si>
    <t>https://www.miteco.gob.es/es/prensa/documentoelp_tcm30-516109.pdf</t>
  </si>
  <si>
    <t>El Gobierno aprueba la Estrategia de Descarbonización a Largo Plazo, que marca la senda para alcanzar la neutralidad climática a 2050</t>
  </si>
  <si>
    <t>https://www.miteco.gob.es/es/prensa/ultimas-noticias/el-gobierno-aprueba-la-estrategia-de-descarbonizaci%C3%B3n-a-largo-plazo-que-marca-la-senda-para-alcanzar-la-neutralidad-clim%C3%A1tica-a-2050/tcm:30-516141|es</t>
  </si>
  <si>
    <t>https://www.miteco.gob.es/es/prensa/ultimas-noticias/el-gobierno-aprueba-la-estrategia-de-descarbonizaci%C3%B3n-a-largo-plazo-que-marca-la-senda-para-alcanzar-la-neutralidad-clim%C3%A1tica-a-2050/tcm:30-516141</t>
  </si>
  <si>
    <t>NATIONAL ACTION FRAMEWORK FOR ALTERNATIVE ENERGY IN TRANSPORT</t>
  </si>
  <si>
    <t>https://industria.gob.es/es-ES/Servicios/Documents/national-action-framework.pdf|en</t>
  </si>
  <si>
    <t>https://industria.gob.es/es-ES/Servicios/Documents/national-action-framework.pdf</t>
  </si>
  <si>
    <t>Estrategia de Impulso del vehículo con energías alternativas (VEA) en España (2014-2020)</t>
  </si>
  <si>
    <t>https://industria.gob.es/es-ES/Servicios/estrategia-impulso-vehiculo-energias-alternativas/Documents/Estrategia-Impulso-Vehiculo-Energ%C3%ADas%20Alternativas-VEA-Espa%C3%B1a-2014-2020.pdf|es</t>
  </si>
  <si>
    <t>https://industria.gob.es/es-ES/Servicios/estrategia-impulso-vehiculo-energias-alternativas/Documents/Estrategia-Impulso-Vehiculo-Energ%C3%ADas%20Alternativas-VEA-Espa%C3%B1a-2014-2020.pdf</t>
  </si>
  <si>
    <t>Laying the Foundations for Recovery: Spain</t>
  </si>
  <si>
    <t>https://ec.europa.eu/info/system/files/spain-recovery-resilience-factsheet_en.pdf|en</t>
  </si>
  <si>
    <t>https://ec.europa.eu/info/system/files/spain-recovery-resilience-factsheet_en.pdf</t>
  </si>
  <si>
    <t>COUNCIL IMPLEMENTING DECISION on the approval of the assessment of the recovery and resilience plan for Spain</t>
  </si>
  <si>
    <t>https://data.consilium.europa.eu/doc/document/ST-10150-2021-INIT/en/pdf|en</t>
  </si>
  <si>
    <t>https://data.consilium.europa.eu/doc/document/ST-10150-2021-INIT/en/pdf</t>
  </si>
  <si>
    <t>REVISED ANNEX to the Council Implementing Decision on the approval of the assessment of the recovery and resilience plan for Spain</t>
  </si>
  <si>
    <t>https://data.consilium.europa.eu/doc/document/ST-10150-2021-ADD-1-REV-2/en/pdf|en</t>
  </si>
  <si>
    <t>https://data.consilium.europa.eu/doc/document/ST-10150-2021-ADD-1-REV-2/en/pdf</t>
  </si>
  <si>
    <t>Plan de Recuperación, Transformación y Resiliencia</t>
  </si>
  <si>
    <t>https://planderecuperacion.gob.es|es</t>
  </si>
  <si>
    <t>https://planderecuperacion.gob.es</t>
  </si>
  <si>
    <t>Spain’s recovery and resilience plan</t>
  </si>
  <si>
    <t>https://ec.europa.eu/info/files/spains-recovery-and-resilience-plan_en|es</t>
  </si>
  <si>
    <t>https://ec.europa.eu/info/files/spains-recovery-and-resilience-plan_en</t>
  </si>
  <si>
    <t>duplicate of row above? (download link)</t>
  </si>
  <si>
    <t>National Energy Policy &amp; Strategies of Sri Lanka</t>
  </si>
  <si>
    <t>Sri Lanka</t>
  </si>
  <si>
    <t>LKA</t>
  </si>
  <si>
    <t>https://climate-laws.org/rails/active_storage/blobs/eyJfcmFpbHMiOnsibWVzc2FnZSI6IkJBaHBBandIIiwiZXhwIjpudWxsLCJwdXIiOiJibG9iX2lkIn19--9b4769d96ce629ac30210f7e0c6a50b678f3f81f/f|en</t>
  </si>
  <si>
    <t>https://climate-laws.org/rails/active_storage/blobs/eyJfcmFpbHMiOnsibWVzc2FnZSI6IkJBaHBBandIIiwiZXhwIjpudWxsLCJwdXIiOiJibG9iX2lkIn19--9b4769d96ce629ac30210f7e0c6a50b678f3f81f/f</t>
  </si>
  <si>
    <t>Not certain this is a strategy.</t>
  </si>
  <si>
    <t>NATIONAL ENERGY POLICY &amp; STRATEGIES OF SRI LANKA</t>
  </si>
  <si>
    <t>http://www.energy.gov.lk/images/resources/downloads/national-energy-policy-2019-en.pdf|en</t>
  </si>
  <si>
    <t>http://www.energy.gov.lk/images/resources/downloads/national-energy-policy-2019-en.pdf</t>
  </si>
  <si>
    <t>Coast Conservation Act</t>
  </si>
  <si>
    <t>http://citizenslanka.org/wp-content/uploads/2016/02/Coast-Conservation-Act-No-57-of-1981-E.pdf|en</t>
  </si>
  <si>
    <t>http://citizenslanka.org/wp-content/uploads/2016/02/Coast-Conservation-Act-No-57-of-1981-E.pdf</t>
  </si>
  <si>
    <t>http://extwprlegs1.fao.org/docs/pdf/srl5289.pdf|en</t>
  </si>
  <si>
    <t>http://extwprlegs1.fao.org/docs/pdf/srl5289.pdf</t>
  </si>
  <si>
    <t>Suriname</t>
  </si>
  <si>
    <t>SUR</t>
  </si>
  <si>
    <t>https://www.nvebs.com/wp-content/uploads/2016/03/Elektriciteitswet-2016-zoals-goedgekeurd-door-DNA-dd-1-maart-2016.pdf|nl</t>
  </si>
  <si>
    <t>https://www.nvebs.com/wp-content/uploads/2016/03/Elektriciteitswet-2016-zoals-goedgekeurd-door-DNA-dd-1-maart-2016.pdf</t>
  </si>
  <si>
    <t>Bad request</t>
  </si>
  <si>
    <t>Elektriciteitswet</t>
  </si>
  <si>
    <t>http://www.lse.ac.uk/GranthamInstitute/wp-content/uploads/2018/02/SURelectricityact16.pdf|nl</t>
  </si>
  <si>
    <t>http://www.lse.ac.uk/GranthamInstitute/wp-content/uploads/2018/02/SURelectricityact16.pdf</t>
  </si>
  <si>
    <t>Lag (2011:1200) om elcertifikat</t>
  </si>
  <si>
    <t>Sweden</t>
  </si>
  <si>
    <t>SWE</t>
  </si>
  <si>
    <t>Swedish</t>
  </si>
  <si>
    <t>https://climate-laws.org/rails/active_storage/blobs/eyJfcmFpbHMiOnsibWVzc2FnZSI6IkJBaHBBcFVJIiwiZXhwIjpudWxsLCJwdXIiOiJibG9iX2lkIn19--4292788e2b3b01679ff73557fd77f0b968765d18/f|</t>
  </si>
  <si>
    <t>https://climate-laws.org/rails/active_storage/blobs/eyJfcmFpbHMiOnsibWVzc2FnZSI6IkJBaHBBcFVJIiwiZXhwIjpudWxsLCJwdXIiOiJibG9iX2lkIn19--4292788e2b3b01679ff73557fd77f0b968765d18/f</t>
  </si>
  <si>
    <t>Förordning (2011:1480) om elcertifikat</t>
  </si>
  <si>
    <t>https://climate-laws.org/rails/active_storage/blobs/eyJfcmFpbHMiOnsibWVzc2FnZSI6IkJBaHBBcFlJIiwiZXhwIjpudWxsLCJwdXIiOiJibG9iX2lkIn19--eccb523ab0fabab146a18de77f5c87af65b62019/f|</t>
  </si>
  <si>
    <t>https://climate-laws.org/rails/active_storage/blobs/eyJfcmFpbHMiOnsibWVzc2FnZSI6IkJBaHBBcFlJIiwiZXhwIjpudWxsLCJwdXIiOiJibG9iX2lkIn19--eccb523ab0fabab146a18de77f5c87af65b62019/f</t>
  </si>
  <si>
    <t>Plan- och bygglag (2010:900)</t>
  </si>
  <si>
    <t>https://climate-laws.org/rails/active_storage/blobs/eyJfcmFpbHMiOnsibWVzc2FnZSI6IkJBaHBBcllLIiwiZXhwIjpudWxsLCJwdXIiOiJibG9iX2lkIn19--faafde7029aa431f26795fd5ae64fc88845d7c2b/1683%20Swedish.pdf|sv</t>
  </si>
  <si>
    <t>https://climate-laws.org/rails/active_storage/blobs/eyJfcmFpbHMiOnsibWVzc2FnZSI6IkJBaHBBcllLIiwiZXhwIjpudWxsLCJwdXIiOiJibG9iX2lkIn19--faafde7029aa431f26795fd5ae64fc88845d7c2b/1683%20Swedish.pdf</t>
  </si>
  <si>
    <t>Planning and Building Act (2010:900)</t>
  </si>
  <si>
    <t>https://climate-laws.org/rails/active_storage/blobs/eyJfcmFpbHMiOnsibWVzc2FnZSI6IkJBaHBBcmNLIiwiZXhwIjpudWxsLCJwdXIiOiJibG9iX2lkIn19--407f6e2ea7dc4504f022362a2cc03a2b4d810130/1683%20English.pdf|en</t>
  </si>
  <si>
    <t>https://climate-laws.org/rails/active_storage/blobs/eyJfcmFpbHMiOnsibWVzc2FnZSI6IkJBaHBBcmNLIiwiZXhwIjpudWxsLCJwdXIiOiJibG9iX2lkIn19--407f6e2ea7dc4504f022362a2cc03a2b4d810130/1683%20English.pdf</t>
  </si>
  <si>
    <t>Not certain of title or category as there are multiple things in here</t>
  </si>
  <si>
    <t>Klimatlag (2017:720)</t>
  </si>
  <si>
    <t>Constitution</t>
  </si>
  <si>
    <t>https://climate-laws.org/rails/active_storage/blobs/eyJfcmFpbHMiOnsibWVzc2FnZSI6IkJBaHBBajRHIiwiZXhwIjpudWxsLCJwdXIiOiJibG9iX2lkIn19--124ae13eaf84010b34550bd990643d0fea98ee24/f|</t>
  </si>
  <si>
    <t>https://climate-laws.org/rails/active_storage/blobs/eyJfcmFpbHMiOnsibWVzc2FnZSI6IkJBaHBBajRHIiwiZXhwIjpudWxsLCJwdXIiOiJibG9iX2lkIn19--124ae13eaf84010b34550bd990643d0fea98ee24/f</t>
  </si>
  <si>
    <t>The Swedish Climate Act</t>
  </si>
  <si>
    <t>https://www.government.se/49c150/contentassets/811c575eb9654a6383cf0ed4e0d5db14/the-swedish-climate-act.pdf?TSPD_101_R0=088d4528d9ab2000ca35be284c96e742d836b609c7a8950589c69ae57318a6f4ea3a7fab1f972f9e089a7b80d3143000531b81c3dba02d71d02f206fa91fc67c9daf5b4d46ce10b4835937696c016cd7285b8b13cc778e5365f7b95ce96febee|en</t>
  </si>
  <si>
    <t>https://www.government.se/49c150/contentassets/811c575eb9654a6383cf0ed4e0d5db14/the-swedish-climate-act.pdf?TSPD_101_R0=088d4528d9ab2000ca35be284c96e742d836b609c7a8950589c69ae57318a6f4ea3a7fab1f972f9e089a7b80d3143000531b81c3dba02d71d02f206fa91fc67c9daf5b4d46ce10b4835937696c016cd7285b8b13cc778e5365f7b95ce96febee</t>
  </si>
  <si>
    <t>Couldn't find year.</t>
  </si>
  <si>
    <t>The Swedish Climate Policy Framework</t>
  </si>
  <si>
    <t>https://climate-laws.org/rails/active_storage/blobs/eyJfcmFpbHMiOnsibWVzc2FnZSI6IkJBaHBBcjRGIiwiZXhwIjpudWxsLCJwdXIiOiJibG9iX2lkIn19--238ef5561e56300c9e8ce66d97c13e253eaf3579/f|</t>
  </si>
  <si>
    <t>https://climate-laws.org/rails/active_storage/blobs/eyJfcmFpbHMiOnsibWVzc2FnZSI6IkJBaHBBcjRGIiwiZXhwIjpudWxsLCJwdXIiOiJibG9iX2lkIn19--238ef5561e56300c9e8ce66d97c13e253eaf3579/f</t>
  </si>
  <si>
    <t>https://www.government.se/information-material/2018/03/the-swedish-climate-policy-framework/|</t>
  </si>
  <si>
    <t>https://www.government.se/information-material/2018/03/the-swedish-climate-policy-framework/</t>
  </si>
  <si>
    <t>Seems like a dupe of the above.</t>
  </si>
  <si>
    <t>https://climate-laws.org/rails/active_storage/blobs/eyJfcmFpbHMiOnsibWVzc2FnZSI6IkJBaHBBZ0FGIiwiZXhwIjpudWxsLCJwdXIiOiJibG9iX2lkIn19--208aa69ea886995b1892ee2db3f97b1b233dc7e1/f|sv</t>
  </si>
  <si>
    <t>https://climate-laws.org/rails/active_storage/blobs/eyJfcmFpbHMiOnsibWVzc2FnZSI6IkJBaHBBZ0FGIiwiZXhwIjpudWxsLCJwdXIiOiJibG9iX2lkIn19--208aa69ea886995b1892ee2db3f97b1b233dc7e1/f</t>
  </si>
  <si>
    <t>Bill seems like the most appropriate label, but not sure.</t>
  </si>
  <si>
    <t>Nationell strategi för klimatanpassning</t>
  </si>
  <si>
    <t>https://www.regeringen.se/regeringens-politik/nationell-strategi-for-klimatanpassning/|sv</t>
  </si>
  <si>
    <t>https://www.regeringen.se/regeringens-politik/nationell-strategi-for-klimatanpassning/</t>
  </si>
  <si>
    <t>Sweden’s Integrated National Energy and Climate Plan</t>
  </si>
  <si>
    <t>https://ec.europa.eu/energy/sites/ener/files/documents/se_final_necp_main_en.pdf|en</t>
  </si>
  <si>
    <t>https://ec.europa.eu/energy/sites/ener/files/documents/se_final_necp_main_en.pdf</t>
  </si>
  <si>
    <t>Sveriges integrerade nationella energi- och klimatplan</t>
  </si>
  <si>
    <t>https://ec.europa.eu/energy/sites/ener/files/documents/se_final_necp_main_se.pdf|sv</t>
  </si>
  <si>
    <t>https://ec.europa.eu/energy/sites/ener/files/documents/se_final_necp_main_se.pdf</t>
  </si>
  <si>
    <t>Förordning (2017:1319) om statligt stöd till åtgärder som bidrar till industrins klimatomställning</t>
  </si>
  <si>
    <t>https://www.riksdagen.se/sv/dokument-lagar/dokument/svensk-forfattningssamling/forordning-20171319-om-statligt-stod-till_sfs-2017-1319|sv</t>
  </si>
  <si>
    <t>https://www.riksdagen.se/sv/dokument-lagar/dokument/svensk-forfattningssamling/forordning-20171319-om-statligt-stod-till_sfs-2017-1319</t>
  </si>
  <si>
    <t>Regleringsbrev för budgetåret 2021 avseende anslag 1:19 Industriklivet</t>
  </si>
  <si>
    <t>https://www.esv.se/statsliggaren/regleringsbrev/?rbid=21440|sv</t>
  </si>
  <si>
    <t>https://www.esv.se/statsliggaren/regleringsbrev/?rbid=21440</t>
  </si>
  <si>
    <t>Not sure how to classify the document type here</t>
  </si>
  <si>
    <t>Federal Act on the Reduction of CO2 Emissions</t>
  </si>
  <si>
    <t>Switzerland</t>
  </si>
  <si>
    <t>CHE</t>
  </si>
  <si>
    <t>https://climate-laws.org/rails/active_storage/blobs/eyJfcmFpbHMiOnsibWVzc2FnZSI6IkJBaHBBaWNLIiwiZXhwIjpudWxsLCJwdXIiOiJibG9iX2lkIn19--345a20dd7ea4d39d23cad26016cd6b9f5961e2c1/f|en</t>
  </si>
  <si>
    <t>https://climate-laws.org/rails/active_storage/blobs/eyJfcmFpbHMiOnsibWVzc2FnZSI6IkJBaHBBaWNLIiwiZXhwIjpudWxsLCJwdXIiOiJibG9iX2lkIn19--345a20dd7ea4d39d23cad26016cd6b9f5961e2c1/f</t>
  </si>
  <si>
    <t>Ordonnance sur la réduction des émissions de CO2</t>
  </si>
  <si>
    <t>https://www.newsd.admin.ch/newsd/message/attachments/63983.pdf|fr</t>
  </si>
  <si>
    <t>https://www.newsd.admin.ch/newsd/message/attachments/63983.pdf</t>
  </si>
  <si>
    <t>Révision partielle de l’ordonnance sur la réduction des émissions de CO2</t>
  </si>
  <si>
    <t>https://www.newsd.admin.ch/newsd/message/attachments/63990.pdf|fr</t>
  </si>
  <si>
    <t>https://www.newsd.admin.ch/newsd/message/attachments/63990.pdf</t>
  </si>
  <si>
    <t>Adaptation aux changements climatiques en Suisse</t>
  </si>
  <si>
    <t>http://www.lse.ac.uk/GranthamInstitute/wp-content/uploads/laws/1689%20French.pdf|fr</t>
  </si>
  <si>
    <t>http://www.lse.ac.uk/GranthamInstitute/wp-content/uploads/laws/1689%20French.pdf</t>
  </si>
  <si>
    <t>Anpassung an den Klimawandel in der Schweiz</t>
  </si>
  <si>
    <t>http://www.lse.ac.uk/GranthamInstitute/wp-content/uploads/laws/1689%20German.pdf|de</t>
  </si>
  <si>
    <t>http://www.lse.ac.uk/GranthamInstitute/wp-content/uploads/laws/1689%20German.pdf</t>
  </si>
  <si>
    <t>Verordnung über die Reduktion der CO2-Emissionen</t>
  </si>
  <si>
    <t>https://climate-laws.org/rails/active_storage/blobs/eyJfcmFpbHMiOnsibWVzc2FnZSI6IkJBaHBBcmtLIiwiZXhwIjpudWxsLCJwdXIiOiJibG9iX2lkIn19--55eb8332021ae9986dcb1b13f515b36a23b19c19/1690%20German.pdf|de</t>
  </si>
  <si>
    <t>https://climate-laws.org/rails/active_storage/blobs/eyJfcmFpbHMiOnsibWVzc2FnZSI6IkJBaHBBcmtLIiwiZXhwIjpudWxsLCJwdXIiOiJibG9iX2lkIn19--55eb8332021ae9986dcb1b13f515b36a23b19c19/1690%20German.pdf</t>
  </si>
  <si>
    <t>https://climate-laws.org/rails/active_storage/blobs/eyJfcmFpbHMiOnsibWVzc2FnZSI6IkJBaHBBcm9LIiwiZXhwIjpudWxsLCJwdXIiOiJibG9iX2lkIn19--f4ed01e895471b0e2fa9bf916ab2d5ea43436e64/1690%20French.pdf|fr</t>
  </si>
  <si>
    <t>https://climate-laws.org/rails/active_storage/blobs/eyJfcmFpbHMiOnsibWVzc2FnZSI6IkJBaHBBcm9LIiwiZXhwIjpudWxsLCJwdXIiOiJibG9iX2lkIn19--f4ed01e895471b0e2fa9bf916ab2d5ea43436e64/1690%20French.pdf</t>
  </si>
  <si>
    <t>Ordinance on the Reduction of CO2 Emissions</t>
  </si>
  <si>
    <t>https://climate-laws.org/rails/active_storage/blobs/eyJfcmFpbHMiOnsibWVzc2FnZSI6IkJBaHBBcnNLIiwiZXhwIjpudWxsLCJwdXIiOiJibG9iX2lkIn19--d38e15c59212015e1b5ffb40e36a87f85f4e8f98/1690%20English.pdf|en</t>
  </si>
  <si>
    <t>https://climate-laws.org/rails/active_storage/blobs/eyJfcmFpbHMiOnsibWVzc2FnZSI6IkJBaHBBcnNLIiwiZXhwIjpudWxsLCJwdXIiOiJibG9iX2lkIn19--d38e15c59212015e1b5ffb40e36a87f85f4e8f98/1690%20English.pdf</t>
  </si>
  <si>
    <t>Mineralölsteuerverordnung</t>
  </si>
  <si>
    <t>Mineral oil tax ordinance</t>
  </si>
  <si>
    <t>https://climate-laws.org/rails/active_storage/blobs/eyJfcmFpbHMiOnsibWVzc2FnZSI6IkJBaHBBcndLIiwiZXhwIjpudWxsLCJwdXIiOiJibG9iX2lkIn19--79012d238f25103bb71562b71e239c3dfb84485f/1691%20German.pdf|de</t>
  </si>
  <si>
    <t>https://climate-laws.org/rails/active_storage/blobs/eyJfcmFpbHMiOnsibWVzc2FnZSI6IkJBaHBBcndLIiwiZXhwIjpudWxsLCJwdXIiOiJibG9iX2lkIn19--79012d238f25103bb71562b71e239c3dfb84485f/1691%20German.pdf</t>
  </si>
  <si>
    <t>Ordonnance sur l’imposition des huiles minérales</t>
  </si>
  <si>
    <t>https://climate-laws.org/rails/active_storage/blobs/eyJfcmFpbHMiOnsibWVzc2FnZSI6IkJBaHBBcjBLIiwiZXhwIjpudWxsLCJwdXIiOiJibG9iX2lkIn19--003b65e728ec291f494115676d9d5594c8b97dcb/1691%20French.pdf|fr</t>
  </si>
  <si>
    <t>https://climate-laws.org/rails/active_storage/blobs/eyJfcmFpbHMiOnsibWVzc2FnZSI6IkJBaHBBcjBLIiwiZXhwIjpudWxsLCJwdXIiOiJibG9iX2lkIn19--003b65e728ec291f494115676d9d5594c8b97dcb/1691%20French.pdf</t>
  </si>
  <si>
    <t>Bundesgesetz über eine leistungsabhängige Schwerverkehrsabgabe</t>
  </si>
  <si>
    <t>https://climate-laws.org/rails/active_storage/blobs/eyJfcmFpbHMiOnsibWVzc2FnZSI6IkJBaHBBcjRLIiwiZXhwIjpudWxsLCJwdXIiOiJibG9iX2lkIn19--1de2520b077319fb106dc2b8f8bed9364dde4de3/1692%20German.pdf|de</t>
  </si>
  <si>
    <t>https://climate-laws.org/rails/active_storage/blobs/eyJfcmFpbHMiOnsibWVzc2FnZSI6IkJBaHBBcjRLIiwiZXhwIjpudWxsLCJwdXIiOiJibG9iX2lkIn19--1de2520b077319fb106dc2b8f8bed9364dde4de3/1692%20German.pdf</t>
  </si>
  <si>
    <t>Loi fédérale concernant une redevance sur le trafic des poids lourds liée aux prestations</t>
  </si>
  <si>
    <t>https://climate-laws.org/rails/active_storage/blobs/eyJfcmFpbHMiOnsibWVzc2FnZSI6IkJBaHBBcjhLIiwiZXhwIjpudWxsLCJwdXIiOiJibG9iX2lkIn19--12763d45636af1036ec7cfcf552f482a545afdc6/1692%20French.pdf|fr</t>
  </si>
  <si>
    <t>https://climate-laws.org/rails/active_storage/blobs/eyJfcmFpbHMiOnsibWVzc2FnZSI6IkJBaHBBcjhLIiwiZXhwIjpudWxsLCJwdXIiOiJibG9iX2lkIn19--12763d45636af1036ec7cfcf552f482a545afdc6/1692%20French.pdf</t>
  </si>
  <si>
    <t>Energiegesetz</t>
  </si>
  <si>
    <t>https://climate-laws.org/rails/active_storage/blobs/eyJfcmFpbHMiOnsibWVzc2FnZSI6IkJBaHBBc0FLIiwiZXhwIjpudWxsLCJwdXIiOiJibG9iX2lkIn19--b6ec7f742786e27c92fccb51d307fba0cde4fd2c/1693%20German.pdf|de</t>
  </si>
  <si>
    <t>https://climate-laws.org/rails/active_storage/blobs/eyJfcmFpbHMiOnsibWVzc2FnZSI6IkJBaHBBc0FLIiwiZXhwIjpudWxsLCJwdXIiOiJibG9iX2lkIn19--b6ec7f742786e27c92fccb51d307fba0cde4fd2c/1693%20German.pdf</t>
  </si>
  <si>
    <t>Loi sur l’énergie*</t>
  </si>
  <si>
    <t>https://climate-laws.org/rails/active_storage/blobs/eyJfcmFpbHMiOnsibWVzc2FnZSI6IkJBaHBBc0VLIiwiZXhwIjpudWxsLCJwdXIiOiJibG9iX2lkIn19--cb9f498c1ddd223d5f03b5b5cc052b7b2e529eba/1693%20French.pdf|fr</t>
  </si>
  <si>
    <t>https://climate-laws.org/rails/active_storage/blobs/eyJfcmFpbHMiOnsibWVzc2FnZSI6IkJBaHBBc0VLIiwiZXhwIjpudWxsLCJwdXIiOiJibG9iX2lkIn19--cb9f498c1ddd223d5f03b5b5cc052b7b2e529eba/1693%20French.pdf</t>
  </si>
  <si>
    <t>https://www.fedlex.admin.ch/eli/cc/2017/762/fr|fr</t>
  </si>
  <si>
    <t>https://www.fedlex.admin.ch/eli/cc/2017/762/fr</t>
  </si>
  <si>
    <t>Ordonnance sur les exigences relatives à l’efficacité énergétique d’installations, de véhicules et d’appareils fabriqués en série</t>
  </si>
  <si>
    <t>https://www.fedlex.admin.ch/eli/cc/2017/765/fr|fr</t>
  </si>
  <si>
    <t>https://www.fedlex.admin.ch/eli/cc/2017/765/fr</t>
  </si>
  <si>
    <t>Bundesgesetz über den Wald</t>
  </si>
  <si>
    <t>https://climate-laws.org/rails/active_storage/blobs/eyJfcmFpbHMiOnsibWVzc2FnZSI6IkJBaHBBc0lLIiwiZXhwIjpudWxsLCJwdXIiOiJibG9iX2lkIn19--101368e6e178e0131ad2c65044bc1231e1f8e7fb/1694%20German.pdf|de</t>
  </si>
  <si>
    <t>https://climate-laws.org/rails/active_storage/blobs/eyJfcmFpbHMiOnsibWVzc2FnZSI6IkJBaHBBc0lLIiwiZXhwIjpudWxsLCJwdXIiOiJibG9iX2lkIn19--101368e6e178e0131ad2c65044bc1231e1f8e7fb/1694%20German.pdf</t>
  </si>
  <si>
    <t>Loi fédérale sur les forêts</t>
  </si>
  <si>
    <t>https://climate-laws.org/rails/active_storage/blobs/eyJfcmFpbHMiOnsibWVzc2FnZSI6IkJBaHBBc01LIiwiZXhwIjpudWxsLCJwdXIiOiJibG9iX2lkIn19--38c972c8baeb9a7ced96e9dd67336baf5336b3a7/1694%20French.pdf|fr</t>
  </si>
  <si>
    <t>https://climate-laws.org/rails/active_storage/blobs/eyJfcmFpbHMiOnsibWVzc2FnZSI6IkJBaHBBc01LIiwiZXhwIjpudWxsLCJwdXIiOiJibG9iX2lkIn19--38c972c8baeb9a7ced96e9dd67336baf5336b3a7/1694%20French.pdf</t>
  </si>
  <si>
    <t>Federal Act on Forest</t>
  </si>
  <si>
    <t>https://climate-laws.org/rails/active_storage/blobs/eyJfcmFpbHMiOnsibWVzc2FnZSI6IkJBaHBBc1FLIiwiZXhwIjpudWxsLCJwdXIiOiJibG9iX2lkIn19--4ecfd800d937c37223e2bfe4d3be6c748f7ff8ca/1694%20English.pdf|en</t>
  </si>
  <si>
    <t>https://climate-laws.org/rails/active_storage/blobs/eyJfcmFpbHMiOnsibWVzc2FnZSI6IkJBaHBBc1FLIiwiZXhwIjpudWxsLCJwdXIiOiJibG9iX2lkIn19--4ecfd800d937c37223e2bfe4d3be6c748f7ff8ca/1694%20English.pdf</t>
  </si>
  <si>
    <t>Energy Strategy 2050</t>
  </si>
  <si>
    <t>https://www.bfe.admin.ch/bfe/en/home/policy/energy-strategy-2050.html|en</t>
  </si>
  <si>
    <t>https://www.bfe.admin.ch/bfe/en/home/policy/energy-strategy-2050.html</t>
  </si>
  <si>
    <t>Best guess of date based on site last update date</t>
  </si>
  <si>
    <t>ENERGY STRATEGY 2050 ONCE THE NEW ENERGY ACT IS IN FORCE</t>
  </si>
  <si>
    <t>https://climate-laws.org/rails/active_storage/blobs/eyJfcmFpbHMiOnsibWVzc2FnZSI6IkJBaHBBZzBPIiwiZXhwIjpudWxsLCJwdXIiOiJibG9iX2lkIn19--f69dbf021420613a398dd882b254a863fdc3af11/8993-ES2050_Standardreferat_2018.01.18_E.pdf|en</t>
  </si>
  <si>
    <t>https://climate-laws.org/rails/active_storage/blobs/eyJfcmFpbHMiOnsibWVzc2FnZSI6IkJBaHBBZzBPIiwiZXhwIjpudWxsLCJwdXIiOiJibG9iX2lkIn19--f69dbf021420613a398dd882b254a863fdc3af11/8993-ES2050_Standardreferat_2018.01.18_E.pdf</t>
  </si>
  <si>
    <t>Date inconsistency with the above</t>
  </si>
  <si>
    <t>ЗАКОН ОБ ИСПОЛЬЗОВАНИИ ВОЗОБНОВЛЯЕМЫХ ИСТОЧНИКОВ ЭНЕРГИИ</t>
  </si>
  <si>
    <t>Tajikistan</t>
  </si>
  <si>
    <t>TJK</t>
  </si>
  <si>
    <t>https://climate-laws.org/rails/active_storage/blobs/eyJfcmFpbHMiOnsibWVzc2FnZSI6IkJBaHBBc1VLIiwiZXhwIjpudWxsLCJwdXIiOiJibG9iX2lkIn19--77efe90b54548c2b6e161733d9e82bdaf4763824/1695%20Russian.pdf|ru</t>
  </si>
  <si>
    <t>https://climate-laws.org/rails/active_storage/blobs/eyJfcmFpbHMiOnsibWVzc2FnZSI6IkJBaHBBc1VLIiwiZXhwIjpudWxsLCJwdXIiOiJibG9iX2lkIn19--77efe90b54548c2b6e161733d9e82bdaf4763824/1695%20Russian.pdf</t>
  </si>
  <si>
    <t>THE LAW OF THE REPUBLIC OF TAJIKISTAN ON THE USE OF RENEWABLE ENERGY SOURCES</t>
  </si>
  <si>
    <t>https://climate-laws.org/rails/active_storage/blobs/eyJfcmFpbHMiOnsibWVzc2FnZSI6IkJBaHBBc1lLIiwiZXhwIjpudWxsLCJwdXIiOiJibG9iX2lkIn19--79a57d818e08096cfa2f6370e3aebc334c92f543/1695%20English.pdf|en</t>
  </si>
  <si>
    <t>https://climate-laws.org/rails/active_storage/blobs/eyJfcmFpbHMiOnsibWVzc2FnZSI6IkJBaHBBc1lLIiwiZXhwIjpudWxsLCJwdXIiOiJibG9iX2lkIn19--79a57d818e08096cfa2f6370e3aebc334c92f543/1695%20English.pdf</t>
  </si>
  <si>
    <t>Guess on date from row above.</t>
  </si>
  <si>
    <t>Tanzania</t>
  </si>
  <si>
    <t>TZA</t>
  </si>
  <si>
    <t>https://climate-laws.org/rails/active_storage/blobs/eyJfcmFpbHMiOnsibWVzc2FnZSI6IkJBaHBBa1FHIiwiZXhwIjpudWxsLCJwdXIiOiJibG9iX2lkIn19--7cf43a7a0570d4b01060bb3072faa4b1827d2ef5/f|en</t>
  </si>
  <si>
    <t>https://climate-laws.org/rails/active_storage/blobs/eyJfcmFpbHMiOnsibWVzc2FnZSI6IkJBaHBBa1FHIiwiZXhwIjpudWxsLCJwdXIiOiJibG9iX2lkIn19--7cf43a7a0570d4b01060bb3072faa4b1827d2ef5/f</t>
  </si>
  <si>
    <t>NATIONAL CLIMATE CHANGE RESPONSE STRATEGY 2021-2026</t>
  </si>
  <si>
    <t>https://climate-laws.org/rails/active_storage/blobs/eyJfcmFpbHMiOnsibWVzc2FnZSI6IkJBaHBBbU1PIiwiZXhwIjpudWxsLCJwdXIiOiJibG9iX2lkIn19--6e48fdcdbc249ab8f7215f02be1c7b015319c77e/NCCRS-2021-2026_-Final_PK.pdf|en</t>
  </si>
  <si>
    <t>https://climate-laws.org/rails/active_storage/blobs/eyJfcmFpbHMiOnsibWVzc2FnZSI6IkJBaHBBbU1PIiwiZXhwIjpudWxsLCJwdXIiOiJibG9iX2lkIn19--6e48fdcdbc249ab8f7215f02be1c7b015319c77e/NCCRS-2021-2026_-Final_PK.pdf</t>
  </si>
  <si>
    <t>พระราชกฤษฎีกา: จัดตั้งองคการบริหารจัดการกาซเรือนกระจก (องคการมหาชน)</t>
  </si>
  <si>
    <t>Thailand</t>
  </si>
  <si>
    <t>THA</t>
  </si>
  <si>
    <t>Thai</t>
  </si>
  <si>
    <t>https://climate-laws.org/rails/active_storage/blobs/eyJfcmFpbHMiOnsibWVzc2FnZSI6IkJBaHBBbGtKIiwiZXhwIjpudWxsLCJwdXIiOiJibG9iX2lkIn19--259c24ca562813a79080723a5968ccb6c0109fa9/F|th</t>
  </si>
  <si>
    <t>https://climate-laws.org/rails/active_storage/blobs/eyJfcmFpbHMiOnsibWVzc2FnZSI6IkJBaHBBbGtKIiwiZXhwIjpudWxsLCJwdXIiOiJibG9iX2lkIn19--259c24ca562813a79080723a5968ccb6c0109fa9/F</t>
  </si>
  <si>
    <t>พระราชกฤษฎีกา: กา จัดตั้งองคการบริหารจัดการกาซเรือนกระจก (องคการมหาชน)</t>
  </si>
  <si>
    <t>https://climate-laws.org/rails/active_storage/blobs/eyJfcmFpbHMiOnsibWVzc2FnZSI6IkJBaHBBc2NLIiwiZXhwIjpudWxsLCJwdXIiOiJibG9iX2lkIn19--87d7008436250cb83cf4042986d6b600f9000ab8/1710%20English.pdf|en</t>
  </si>
  <si>
    <t>https://climate-laws.org/rails/active_storage/blobs/eyJfcmFpbHMiOnsibWVzc2FnZSI6IkJBaHBBc2NLIiwiZXhwIjpudWxsLCJwdXIiOiJibG9iX2lkIn19--87d7008436250cb83cf4042986d6b600f9000ab8/1710%20English.pdf</t>
  </si>
  <si>
    <t>The Energy Conservation Promotion Act B.E. 2535</t>
  </si>
  <si>
    <t>https://climate-laws.org/rails/active_storage/blobs/eyJfcmFpbHMiOnsibWVzc2FnZSI6IkJBaHBBb0lJIiwiZXhwIjpudWxsLCJwdXIiOiJibG9iX2lkIn19--a227207797d80a5682849c25aabccceec2cf1188/f|</t>
  </si>
  <si>
    <t>https://climate-laws.org/rails/active_storage/blobs/eyJfcmFpbHMiOnsibWVzc2FnZSI6IkJBaHBBb0lJIiwiZXhwIjpudWxsLCJwdXIiOiJibG9iX2lkIn19--a227207797d80a5682849c25aabccceec2cf1188/f</t>
  </si>
  <si>
    <t>Energy Conservation Promotion Act</t>
  </si>
  <si>
    <t>https://climate-laws.org/rails/active_storage/blobs/eyJfcmFpbHMiOnsibWVzc2FnZSI6IkJBaHBBb01JIiwiZXhwIjpudWxsLCJwdXIiOiJibG9iX2lkIn19--e705fba7deb1472bde9e8e4db9bb705fc5b7b522/f|</t>
  </si>
  <si>
    <t>https://climate-laws.org/rails/active_storage/blobs/eyJfcmFpbHMiOnsibWVzc2FnZSI6IkJBaHBBb01JIiwiZXhwIjpudWxsLCJwdXIiOiJibG9iX2lkIn19--e705fba7deb1472bde9e8e4db9bb705fc5b7b522/f</t>
  </si>
  <si>
    <t>Décret n° 93-942 du 26 avril 1993, fixant les modalités d'élaboration et d'application du plan national et des plans régionaux relatifs à la lutte contre les calamités, à leur prévention et l'organisation des secours.</t>
  </si>
  <si>
    <t>Tunisia</t>
  </si>
  <si>
    <t>TUN</t>
  </si>
  <si>
    <t>https://climate-laws.org/rails/active_storage/blobs/eyJfcmFpbHMiOnsibWVzc2FnZSI6IkJBaHBBckVPIiwiZXhwIjpudWxsLCJwdXIiOiJibG9iX2lkIn19--b78d1f1305c742104f636f5157f3fc26c60b7b6d/D%C3%A9cret_n%C2%B093-942.pdf|fr</t>
  </si>
  <si>
    <t>https://climate-laws.org/rails/active_storage/blobs/eyJfcmFpbHMiOnsibWVzc2FnZSI6IkJBaHBBckVPIiwiZXhwIjpudWxsLCJwdXIiOiJibG9iX2lkIn19--b78d1f1305c742104f636f5157f3fc26c60b7b6d/D%C3%A9cret_n%C2%B093-942.pdf</t>
  </si>
  <si>
    <t>Loi n°91-39 du 08 juin 1991, relative à la lutte contre les calamites, à leur prévention et à l'organisation des secours</t>
  </si>
  <si>
    <t>https://legislation-securite.tn/law/45346|fr</t>
  </si>
  <si>
    <t>https://legislation-securite.tn/law/45346</t>
  </si>
  <si>
    <t>Stratégie et plan d’action nationaux pour
la biodiversité 2018-2030</t>
  </si>
  <si>
    <t>https://www.cbd.int/doc/world/tn/tn-nbsap-oth-fr.pdf|fr</t>
  </si>
  <si>
    <t>https://www.cbd.int/doc/world/tn/tn-nbsap-oth-fr.pdf</t>
  </si>
  <si>
    <t>Evolution de la planification nationale en matière de diversité biologique</t>
  </si>
  <si>
    <t>http://www.environnement.gov.tn/index.php/fr/112-contenu-fr/la-biodiversite?start=3|fr</t>
  </si>
  <si>
    <t>http://www.environnement.gov.tn/index.php/fr/112-contenu-fr/la-biodiversite?start=3</t>
  </si>
  <si>
    <t>TÜRKİYE CUMHURİYETİ İKLİM DEĞİŞİKLİĞİ EYLEM PLANI 2011 - 2023</t>
  </si>
  <si>
    <t>https://climate-laws.org/rails/active_storage/blobs/eyJfcmFpbHMiOnsibWVzc2FnZSI6IkJBaHBBc2dLIiwiZXhwIjpudWxsLCJwdXIiOiJibG9iX2lkIn19--f5b76b52a69aa5dc7dfbcf8923ffc662e432660d/1720%20Turkish.pdf|tr</t>
  </si>
  <si>
    <t>https://climate-laws.org/rails/active_storage/blobs/eyJfcmFpbHMiOnsibWVzc2FnZSI6IkJBaHBBc2dLIiwiZXhwIjpudWxsLCJwdXIiOiJibG9iX2lkIn19--f5b76b52a69aa5dc7dfbcf8923ffc662e432660d/1720%20Turkish.pdf</t>
  </si>
  <si>
    <t>REPUBLIC OF TURKEY CLIMATE CHANGE ACTION PLAN 2011 - 2023</t>
  </si>
  <si>
    <t>https://climate-laws.org/rails/active_storage/blobs/eyJfcmFpbHMiOnsibWVzc2FnZSI6IkJBaHBBc2tLIiwiZXhwIjpudWxsLCJwdXIiOiJibG9iX2lkIn19--7623e73d48273f14997bcaffa14238c9c204a725/1720%20English.pdf|en</t>
  </si>
  <si>
    <t>https://climate-laws.org/rails/active_storage/blobs/eyJfcmFpbHMiOnsibWVzc2FnZSI6IkJBaHBBc2tLIiwiZXhwIjpudWxsLCJwdXIiOiJibG9iX2lkIn19--7623e73d48273f14997bcaffa14238c9c204a725/1720%20English.pdf</t>
  </si>
  <si>
    <t>JEOTERMAL KAYNAKLAR VE DOĞAL MİNERALLİ SULAR KANUNU</t>
  </si>
  <si>
    <t>https://climate-laws.org/rails/active_storage/blobs/eyJfcmFpbHMiOnsibWVzc2FnZSI6IkJBaHBBc29LIiwiZXhwIjpudWxsLCJwdXIiOiJibG9iX2lkIn19--2a43c1378e2052553f72a03a119dab364db8e853/1722%20Turkish.pdf|tr</t>
  </si>
  <si>
    <t>https://climate-laws.org/rails/active_storage/blobs/eyJfcmFpbHMiOnsibWVzc2FnZSI6IkJBaHBBc29LIiwiZXhwIjpudWxsLCJwdXIiOiJibG9iX2lkIn19--2a43c1378e2052553f72a03a119dab364db8e853/1722%20Turkish.pdf</t>
  </si>
  <si>
    <t>LAW ON GEOTHERMAL RESOURCES AND MINERAL WATERS</t>
  </si>
  <si>
    <t>https://climate-laws.org/rails/active_storage/blobs/eyJfcmFpbHMiOnsibWVzc2FnZSI6IkJBaHBBc3NLIiwiZXhwIjpudWxsLCJwdXIiOiJibG9iX2lkIn19--f07b832f6e60d07123f484b06cdf3096f41673ac/1722%20English.pdf|en</t>
  </si>
  <si>
    <t>https://climate-laws.org/rails/active_storage/blobs/eyJfcmFpbHMiOnsibWVzc2FnZSI6IkJBaHBBc3NLIiwiZXhwIjpudWxsLCJwdXIiOiJibG9iX2lkIn19--f07b832f6e60d07123f484b06cdf3096f41673ac/1722%20English.pdf</t>
  </si>
  <si>
    <t>Yenilenebilir Enerji Kaynaklarının Elektrik Enerjisi Üretimi Amaçlı Kullanımına İlişkin Kanun</t>
  </si>
  <si>
    <t>https://climate-laws.org/rails/active_storage/blobs/eyJfcmFpbHMiOnsibWVzc2FnZSI6IkJBaHBBc3dLIiwiZXhwIjpudWxsLCJwdXIiOiJibG9iX2lkIn19--082278d03b7ab27b361eb64a9a8dc30eabd81719/1723%20Turkish.pdf|tr</t>
  </si>
  <si>
    <t>https://climate-laws.org/rails/active_storage/blobs/eyJfcmFpbHMiOnsibWVzc2FnZSI6IkJBaHBBc3dLIiwiZXhwIjpudWxsLCJwdXIiOiJibG9iX2lkIn19--082278d03b7ab27b361eb64a9a8dc30eabd81719/1723%20Turkish.pdf</t>
  </si>
  <si>
    <t>LAW ON UTILIZATION OF RENEWABLE ENERGY SOURCES FOR THE PURPOSE OF GENERATING ELECTRICAL ENERGY</t>
  </si>
  <si>
    <t>https://climate-laws.org/rails/active_storage/blobs/eyJfcmFpbHMiOnsibWVzc2FnZSI6IkJBaHBBczBLIiwiZXhwIjpudWxsLCJwdXIiOiJibG9iX2lkIn19--545bb6842aa518adb459df6ed7c80983f1f63b91/1723%20English.pdf|en</t>
  </si>
  <si>
    <t>https://climate-laws.org/rails/active_storage/blobs/eyJfcmFpbHMiOnsibWVzc2FnZSI6IkJBaHBBczBLIiwiZXhwIjpudWxsLCJwdXIiOiJibG9iX2lkIn19--545bb6842aa518adb459df6ed7c80983f1f63b91/1723%20English.pdf</t>
  </si>
  <si>
    <t>BAZI KANUNLARDA DEĞİŞİKLİK YAPILMASINA DAİR KANUN</t>
  </si>
  <si>
    <t>https://www.resmigazete.gov.tr/eskiler/2020/03/20200326M1-1.htm|tr</t>
  </si>
  <si>
    <t>https://www.resmigazete.gov.tr/eskiler/2020/03/20200326M1-1.htm</t>
  </si>
  <si>
    <t>https://www.resmigazete.gov.tr/eskiler/2020/09/20200918.pdf|tr</t>
  </si>
  <si>
    <t>https://www.resmigazete.gov.tr/eskiler/2020/09/20200918.pdf</t>
  </si>
  <si>
    <t>LAW NO. 6094 AMENDING THE RENEWABLE ENERGY LAW</t>
  </si>
  <si>
    <t>https://cakmak.av.tr/wp-content/uploads/2019/07/1-Law-No.-6094-Amending-The-Renewable-Energy-Law-1.pdf|en</t>
  </si>
  <si>
    <t>https://cakmak.av.tr/wp-content/uploads/2019/07/1-Law-No.-6094-Amending-The-Renewable-Energy-Law-1.pdf</t>
  </si>
  <si>
    <t>Türkiye İklim Değişikliği Stratejisi</t>
  </si>
  <si>
    <t>https://climate-laws.org/rails/active_storage/blobs/eyJfcmFpbHMiOnsibWVzc2FnZSI6IkJBaHBBdFVLIiwiZXhwIjpudWxsLCJwdXIiOiJibG9iX2lkIn19--ec2bb1fecd6c73a6fc927b6eaeb2630f14c95806/2001%20Turkish.pdf|tr</t>
  </si>
  <si>
    <t>https://climate-laws.org/rails/active_storage/blobs/eyJfcmFpbHMiOnsibWVzc2FnZSI6IkJBaHBBdFVLIiwiZXhwIjpudWxsLCJwdXIiOiJibG9iX2lkIn19--ec2bb1fecd6c73a6fc927b6eaeb2630f14c95806/2001%20Turkish.pdf</t>
  </si>
  <si>
    <t>Republic of Turkey Climate Change Strategy 2010-2020</t>
  </si>
  <si>
    <t>https://climate-laws.org/rails/active_storage/blobs/eyJfcmFpbHMiOnsibWVzc2FnZSI6IkJBaHBBdFlLIiwiZXhwIjpudWxsLCJwdXIiOiJibG9iX2lkIn19--a01bd4edaea5bf13401100de57d6db7f54b14e00/2001%20English.pdf|en</t>
  </si>
  <si>
    <t>https://climate-laws.org/rails/active_storage/blobs/eyJfcmFpbHMiOnsibWVzc2FnZSI6IkJBaHBBdFlLIiwiZXhwIjpudWxsLCJwdXIiOiJibG9iX2lkIn19--a01bd4edaea5bf13401100de57d6db7f54b14e00/2001%20English.pdf</t>
  </si>
  <si>
    <t>https://policy.asiapacificenergy.org/sites/default/files/Electricity%20Market%20Law%206446%20-%20English.pdf(7-mar-18),https://policy.asiapacificenergy.org/sites/default/files/The%20electricity%20market%20legislation.pdf(7-mar-18)|</t>
  </si>
  <si>
    <t>https://policy.asiapacificenergy.org/sites/default/files/Electricity%20Market%20Law%206446%20-%20English.pdf(7-mar-18),https://policy.asiapacificenergy.org/sites/default/files/The%20electricity%20market%20legislation.pdf(7-mar-18)</t>
  </si>
  <si>
    <t>Page not found</t>
  </si>
  <si>
    <t>HUKUK MUHAKEMELERI KANUNU ILE BAZI KANUNLARDA DEGISIKLIK YAPILMASI HAKKINDA KANUN</t>
  </si>
  <si>
    <t>https://climate-laws.org/rails/active_storage/blobs/eyJfcmFpbHMiOnsibWVzc2FnZSI6IkJBaHBBbEVNIiwiZXhwIjpudWxsLCJwdXIiOiJibG9iX2lkIn19--8a78ebd60d969c7d8c9ea72ca069d5e244b5d79e/20200728REG%20elec%20turkey.pdf|tr</t>
  </si>
  <si>
    <t>https://climate-laws.org/rails/active_storage/blobs/eyJfcmFpbHMiOnsibWVzc2FnZSI6IkJBaHBBbEVNIiwiZXhwIjpudWxsLCJwdXIiOiJibG9iX2lkIn19--8a78ebd60d969c7d8c9ea72ca069d5e244b5d79e/20200728REG%20elec%20turkey.pdf</t>
  </si>
  <si>
    <t>Not sure how to interpret</t>
  </si>
  <si>
    <t>YENİLENEBİLİR ENERJİ KAYNAKLARINDAN ELEKTRİK ENERJİSİ ÜRETEN TESİSLERDE KULLANILAN YERLİ AKSAMIN DESTEKLENMESİ HAKKINDA YÖNETMELİK</t>
  </si>
  <si>
    <t xml:space="preserve">REGULATION ABOUT ELECTRICITY FROM RENEWABLE ENERGY SOURCES ENERGY GENERATION SUPPORTING LOCAL COMPONENTS USED IN FACILITIES </t>
  </si>
  <si>
    <t>https://www.resmigazete.gov.tr/eskiler/2016/06/20160624-1.htm|tr</t>
  </si>
  <si>
    <t>https://www.resmigazete.gov.tr/eskiler/2016/06/20160624-1.htm</t>
  </si>
  <si>
    <t xml:space="preserve">YENİLENEBİLİR ENERJİ KAYNAKLARINDAN ELEKTRİK ENERJİSİ ÜRETEN TESİSLERDE KULLANILAN YERLİ AKSAMIN DESTEKLENMESİ HAKKINDA YÖNETMELİKTE DEĞİŞİKLİK YAPILMASINA DAİR YÖNETMELİK </t>
  </si>
  <si>
    <t>AMENDMENTS TO THE REGULATION ABOUT RENEWABLE PRODUCING ELECTRIC ENERGY FROM ENERGY SOURCES SUPPORTING LOCAL COMPONENTS USED IN FACILITIES</t>
  </si>
  <si>
    <t>https://www.resmigazete.gov.tr/eskiler/2020/05/20200528-6.htm|tr</t>
  </si>
  <si>
    <t>https://www.resmigazete.gov.tr/eskiler/2020/05/20200528-6.htm</t>
  </si>
  <si>
    <t>Enforcement of the decision on the price and periods to be applied for the facilities operating on renewable energy sources and the addition of local contribution</t>
  </si>
  <si>
    <t>https://www.resmigazete.gov.tr/eskiler/2019/05/20190510-10.pdf|tr</t>
  </si>
  <si>
    <t>https://www.resmigazete.gov.tr/eskiler/2019/05/20190510-10.pdf</t>
  </si>
  <si>
    <t>ELEKTRİK PİYASASINDA LİSANSSIZ ELEKTRİK ÜRETİM YÖNETMELİĞİ</t>
  </si>
  <si>
    <t xml:space="preserve">ELECTRICITY LICENSED ELECTRICITY IN THE MARKET PRODUCTION REGULATION </t>
  </si>
  <si>
    <t>https://www.resmigazete.gov.tr/eskiler/2019/05/20190512-1.htm|tr</t>
  </si>
  <si>
    <t>https://www.resmigazete.gov.tr/eskiler/2019/05/20190512-1.htm</t>
  </si>
  <si>
    <t>Budget Speech Financial Year 2020/21</t>
  </si>
  <si>
    <t>https://www.finance.go.ug/sites/default/files/Publications/FY%202020-21%20Budget%20Speech_Final.pdf|en</t>
  </si>
  <si>
    <t>https://www.finance.go.ug/sites/default/files/Publications/FY%202020-21%20Budget%20Speech_Final.pdf</t>
  </si>
  <si>
    <t>Unsure how to categorise budget speech</t>
  </si>
  <si>
    <t>NATIONAL BUDGET FRAMEWORK PAPER FY 2020/21 – FY 2024/25</t>
  </si>
  <si>
    <t>https://budget.go.ug/sites/default/files/National%20Budget%20docs/National%20Budget%20Framework%20Paper%20FY%202020-21_0.pdf|en</t>
  </si>
  <si>
    <t>https://budget.go.ug/sites/default/files/National%20Budget%20docs/National%20Budget%20Framework%20Paper%20FY%202020-21_0.pdf</t>
  </si>
  <si>
    <t>Fusion Energy Development Act and Nuclear Energy Promotion Act</t>
  </si>
  <si>
    <t>Institutions / Administrative Arrangements;Research And Development;Energy Supply</t>
  </si>
  <si>
    <t>26/12/2006|Law passed;27/12/2016|Last amendment</t>
  </si>
  <si>
    <t>Not certain of year</t>
  </si>
  <si>
    <t>Storm and Flood Insurance Act</t>
  </si>
  <si>
    <t>Insurance|Economic;Processes, plans and strategies|Governance</t>
  </si>
  <si>
    <t>09/07/2014|Law passed;25/12/2018|Last amendment</t>
  </si>
  <si>
    <t>Full text (PDF)|https://climate-laws.org/rails/active_storage/blobs/eyJfcmFpbHMiOnsibWVzc2FnZSI6IkJBaHBBdG9FIiwiZXhwIjpudWxsLCJwdXIiOiJibG9iX2lkIn19--7c1ac8e77b149850958f84d29b3e8ca216e8ffef/f|;Link to governmental website|http://pravo.gov.ru/proxy/ips/?docbody=&amp;nd=102356583&amp;rdk=|</t>
  </si>
  <si>
    <t>Not sure about this one</t>
  </si>
  <si>
    <t>Provision of climate funds|Direct Investment;Processes, plans and strategies|Governance;Research &amp; Development, knowledge generation|Information</t>
  </si>
  <si>
    <t>Hydrogen;Infrastructure;Covid 19;Ev</t>
  </si>
  <si>
    <t>Energy;Finance;Industry;Transport;Urban;Water</t>
  </si>
  <si>
    <t>14/07/2020|Approved||</t>
  </si>
  <si>
    <t>Page not available</t>
  </si>
  <si>
    <t>Korean New Deal</t>
  </si>
  <si>
    <t>Regulations on the establishment and operation of the 2050 Carbon Neutrality Committee (Presidential Decree No. 31669)</t>
  </si>
  <si>
    <t>04/05/2021|Approved||</t>
  </si>
  <si>
    <t>2050 Carbon Neutral Scenario roadmaps</t>
  </si>
  <si>
    <t>Coal;Gas</t>
  </si>
  <si>
    <t>18/10/2021|Roadmaps released||</t>
  </si>
  <si>
    <t>Not sure how to categorise</t>
  </si>
  <si>
    <t>Institutions / Administrative Arrangements;Carbon Pricing;Energy Supply;Energy Demand;Transportation</t>
  </si>
  <si>
    <t>04/03/2011|Law passed</t>
  </si>
  <si>
    <t>MINISTERIO DE AGRICULTURA, ALIMENTACIÓN Y MEDIO AMBIENTE</t>
  </si>
  <si>
    <t>Spanish Strategy for Climate Change and Clean Energy and the related Plan of Urgent Measures</t>
  </si>
  <si>
    <t>Capacity building|Governance;Processes, plans and strategies|Governance;Education, training and knowledge dissemination|Information</t>
  </si>
  <si>
    <t>Adaptation;Institutions / Administrative Arrangements;Research And Development;Energy Supply;Energy Demand;Transportation</t>
  </si>
  <si>
    <t>02/11/2007|Law passed||</t>
  </si>
  <si>
    <t>full text translated|http://www.lse.ac.uk/GranthamInstitute/wp-content/uploads/laws/1674%20English.pdf|en;original version|https://climate-laws.org/rails/active_storage/blobs/eyJfcmFpbHMiOnsibWVzc2FnZSI6IkJBaHBBclVLIiwiZXhwIjpudWxsLCJwdXIiOiJibG9iX2lkIn19--0389b20592032a285dc31b2977adf54b040d8b98/1674%20Spanish.pdf|es</t>
  </si>
  <si>
    <t>Royal Decree 415/2014 on the National Climate Council, repealing and replacing royal decrees 177/1998 and 1188/2001</t>
  </si>
  <si>
    <t>16/02/1998|Law passed||;06/06/2014|Replaced||</t>
  </si>
  <si>
    <t>Full text of royal decree 177/1998 (pdf)|https://www.boe.es/diario_boe/txt.php?id=BOE-A-1998-3735|es;Full text of royal decree 1188/2001 (pdf)|https://climate-laws.org/rails/active_storage/blobs/eyJfcmFpbHMiOnsibWVzc2FnZSI6IkJBaHBBalVHIiwiZXhwIjpudWxsLCJwdXIiOiJibG9iX2lkIn19--aa0b9539eab4ba5244aebe6153fd8a80ace6c5e7/f|es;Full text of royal decree 415/2014 (pdf)|https://climate-laws.org/rails/active_storage/blobs/eyJfcmFpbHMiOnsibWVzc2FnZSI6IkJBaHBBallHIiwiZXhwIjpudWxsLCJwdXIiOiJibG9iX2lkIn19--2606fa879c55336719329cbbd42745183e8d86ea/f|es;Link to governmental page on the National Council on Climate|http://www.mapama.gob.es/es/cambio-climatico/temas/organismos-e-instituciones-implicados-en-la-lucha-contra-el-cambio-climatico-a-nivel-nacional/el-consejo-nacional-del-clima/default.aspx|es</t>
  </si>
  <si>
    <t>Law no 1/2005 regulating the greenhouse gas emission rights trading scheme and creating the Climate Change Policy Coordination Commission (CCPCC)</t>
  </si>
  <si>
    <t>09/03/2005|Law passed;25/12/2017|Last amendment</t>
  </si>
  <si>
    <t>Full text|https://www.boe.es/eli/es/l/2005/03/09/1/con|;1.315 decree (full text)|https://climate-laws.org/rails/active_storage/blobs/eyJfcmFpbHMiOnsibWVzc2FnZSI6IkJBaHBBalFKIiwiZXhwIjpudWxsLCJwdXIiOiJibG9iX2lkIn19--b79c4319a8330086b9e30fa71245d2f9244ec5e9/f|;1.264 decree (full text)|https://climate-laws.org/rails/active_storage/blobs/eyJfcmFpbHMiOnsibWVzc2FnZSI6IkJBaHBBalVKIiwiZXhwIjpudWxsLCJwdXIiOiJibG9iX2lkIn19--55d1e88dce6535d190d8086037ef11fb18663361/f|</t>
  </si>
  <si>
    <t>National Action Program against Desertification (PAND)</t>
  </si>
  <si>
    <t>01/08/2008|Law passed</t>
  </si>
  <si>
    <t>full text (PDF)|https://climate-laws.org/rails/active_storage/blobs/eyJfcmFpbHMiOnsibWVzc2FnZSI6IkJBaHBBaWtGIiwiZXhwIjpudWxsLCJwdXIiOiJibG9iX2lkIn19--ab00a3c4da0885daf6c12632d9b1bc2b0fbcc423/f|;Order (full text)|https://climate-laws.org/rails/active_storage/blobs/eyJfcmFpbHMiOnsibWVzc2FnZSI6IkJBaHBBaW9GIiwiZXhwIjpudWxsLCJwdXIiOiJibG9iX2lkIn19--b9bc25b908203d083cae620ce26b5fb4bb550e57/f|</t>
  </si>
  <si>
    <t>Law No 45/2007 and Royal Decree No. 752/2010 on rural sustainable development</t>
  </si>
  <si>
    <t>Law;Decree</t>
  </si>
  <si>
    <t>Energy;Social development;Transportation</t>
  </si>
  <si>
    <t>25/12/2009|Last amendment;13/12/2013|Law passed</t>
  </si>
  <si>
    <t>full text (pdf)|https://boe.es/buscar/pdf/2007/BOE-A-2007-21493-consolidado.pdf|;decree (full text)|https://climate-laws.org/rails/active_storage/blobs/eyJfcmFpbHMiOnsibWVzc2FnZSI6IkJBaHBBaTBGIiwiZXhwIjpudWxsLCJwdXIiOiJibG9iX2lkIn19--d7daf521d9bdfe5ddc2903b1dabce76422b8c946/f|</t>
  </si>
  <si>
    <t>Spain's integrated National Energy and Climate Plan for 2021-2030</t>
  </si>
  <si>
    <t>Flood;Drought;Erosion;Desertification</t>
  </si>
  <si>
    <t>Buildings;Transportation;Transport;Subsidies;Agriculture;Taxes</t>
  </si>
  <si>
    <t>Agriculture;Buildings;Economy-wide;Energy;Transportation</t>
  </si>
  <si>
    <t>20/01/2020|Approved||;23/09/2020|Amended||</t>
  </si>
  <si>
    <t>Full text (PDF)|https://ec.europa.eu/energy/sites/ener/files/documents/es_final_necp_main_en.pdf|en;Original version (PDF)|https://ec.europa.eu/energy/sites/ener/files/documents/es_final_necp_main_es.pdf|es;Link to official website|https://www.miteco.gob.es/es/cambio-climatico/temas/impactos-vulnerabilidad-y-adaptacion/plan-nacional-adaptacion-cambio-climatico/default.aspx|es;Link to second version (PDF)|https://www.miteco.gob.es/es/cambio-climatico/temas/impactos-vulnerabilidad-y-adaptacion/pnacc-2021-2030_tcm30-512163.pdf|es</t>
  </si>
  <si>
    <t>Royal Decree 960/2020 regulating the economic regime of renewable energy for electricity production facilities</t>
  </si>
  <si>
    <t>Renewables;Fit</t>
  </si>
  <si>
    <t>03/11/2020|Published||</t>
  </si>
  <si>
    <t>Link to official website|https://www.boe.es/diario_boe/txt.php?id=BOE-A-2020-13591|es;Full text (PDF)|https://climate-laws.org/rails/active_storage/blobs/eyJfcmFpbHMiOnsibWVzc2FnZSI6IkJBaHBBazhOIiwiZXhwIjpudWxsLCJwdXIiOiJibG9iX2lkIn19--575b260df5d573560c81c5565577307950d49ec6/BOE-A-2020-13591.pdf|es</t>
  </si>
  <si>
    <t>Long-term strategy for energy rehabilitation in the building sector</t>
  </si>
  <si>
    <t>01/06/2020|Published||</t>
  </si>
  <si>
    <t>Full text (PDF)|https://climate-laws.org/rails/active_storage/blobs/eyJfcmFpbHMiOnsibWVzc2FnZSI6IkJBaHBBbEFOIiwiZXhwIjpudWxsLCJwdXIiOiJibG9iX2lkIn19--59b38c634ec7410d8f28fb813cf4534685d440b9/es_ltrs_2020.pdf|es;Link to official website|https://www.mitma.gob.es/el-ministerio/planes-estrategicos/estrategia-a-largo-plazo-para-la-rehabilitacion-energetica-en-el-sector-de-la-edificacion-en-espana|es</t>
  </si>
  <si>
    <t>Spanish Strategy for Circular Economy (España Circular 2030)</t>
  </si>
  <si>
    <t>Covid19;Circular Economy</t>
  </si>
  <si>
    <t>02/06/2020|Released||</t>
  </si>
  <si>
    <t>Full text (PDF)|https://www.miteco.gob.es/es/calidad-y-evaluacion-ambiental/temas/economia-circular/espanacircular2030_def1_tcm30-509532.PDF|es;Translated summary (PDF)|https://www.miteco.gob.es/es/calidad-y-evaluacion-ambiental/temas/economia-circular/espanacircular_2030_executivesummary_en_tcm30-510578.pdf|en</t>
  </si>
  <si>
    <t>Long Term Decarbonisation Strategy 2050 (ELP 2050)</t>
  </si>
  <si>
    <t>11/03/2020|Approved||</t>
  </si>
  <si>
    <t>Link to full text (PDF)|https://www.miteco.gob.es/es/prensa/documentoelp_tcm30-516109.pdf|es;Link to official press release and annexes|https://www.miteco.gob.es/es/prensa/ultimas-noticias/el-gobierno-aprueba-la-estrategia-de-descarbonizaci%C3%B3n-a-largo-plazo-que-marca-la-senda-para-alcanzar-la-neutralidad-clim%C3%A1tica-a-2050/tcm:30-516141|es</t>
  </si>
  <si>
    <t>National action framework for alternative energy in transport and Strategy to Promote Alternative Energy Vehicles</t>
  </si>
  <si>
    <t>Biofuels;Hydrogen;Ev</t>
  </si>
  <si>
    <t>14/10/2016|Approved||</t>
  </si>
  <si>
    <t>Link to full text (PDF)|https://industria.gob.es/es-ES/Servicios/Documents/national-action-framework.pdf|en;Link to AEV strategy (PDF)|https://industria.gob.es/es-ES/Servicios/estrategia-impulso-vehiculo-energias-alternativas/Documents/Estrategia-Impulso-Vehiculo-Energ%C3%ADas%20Alternativas-VEA-Espa%C3%B1a-2014-2020.pdf|es</t>
  </si>
  <si>
    <t>Buildings;Economy-wide;Energy</t>
  </si>
  <si>
    <t>20/06/2021|Approved||</t>
  </si>
  <si>
    <t>EU factsheet|https://ec.europa.eu/info/system/files/spain-recovery-resilience-factsheet_en.pdf|en;Council Implementing Decision|https://data.consilium.europa.eu/doc/document/ST-10150-2021-INIT/en/pdf|en;Revised annex to Decision|https://data.consilium.europa.eu/doc/document/ST-10150-2021-ADD-1-REV-2/en/pdf|en;Official Spanish website|https://planderecuperacion.gob.es|es;Link to full text|https://ec.europa.eu/info/files/spains-recovery-and-resilience-plan_en|es</t>
  </si>
  <si>
    <t>National Energy Policy &amp; Strategies of Sri Lanka (2019)</t>
  </si>
  <si>
    <t>Institutions / Administrative Arrangements;Research And Development;Carbon Pricing;Energy Supply;Energy Demand;Transportation</t>
  </si>
  <si>
    <t>11/05/2008|Law passed||;08/08/2019|Amended||</t>
  </si>
  <si>
    <t>Full text of 2008 version|https://climate-laws.org/rails/active_storage/blobs/eyJfcmFpbHMiOnsibWVzc2FnZSI6IkJBaHBBandIIiwiZXhwIjpudWxsLCJwdXIiOiJibG9iX2lkIn19--9b4769d96ce629ac30210f7e0c6a50b678f3f81f/f|en;Full text of 2019 version (PDF)|http://www.energy.gov.lk/images/resources/downloads/national-energy-policy-2019-en.pdf|en</t>
  </si>
  <si>
    <t>Coast Conservation Act 57/1981 as amended by Act 49/2011</t>
  </si>
  <si>
    <t>Zoning &amp; Spatial Planning|Regulation;Capacity building|Governance;Institutional mandates|Governance</t>
  </si>
  <si>
    <t>Permit;Coastal Erosion</t>
  </si>
  <si>
    <t>01/01/1981|Law passed||;30/11/2011|Law amended||</t>
  </si>
  <si>
    <t>Full text Act No.57/1981 on external website (PDF)|http://citizenslanka.org/wp-content/uploads/2016/02/Coast-Conservation-Act-No-57-of-1981-E.pdf|en;Full text of Act No.49/2011 on external website (PDF)|http://extwprlegs1.fao.org/docs/pdf/srl5289.pdf|en</t>
  </si>
  <si>
    <t>Electricity Act, 2016</t>
  </si>
  <si>
    <t>Subsidies|Economic;Institutional mandates|Governance;Processes, plans and strategies|Governance</t>
  </si>
  <si>
    <t>01/03/2016|Law passed</t>
  </si>
  <si>
    <t>full text (pdf)|https://www.nvebs.com/wp-content/uploads/2016/03/Elektriciteitswet-2016-zoals-goedgekeurd-door-DNA-dd-1-maart-2016.pdf|nl;full text (pdf)|http://www.lse.ac.uk/GranthamInstitute/wp-content/uploads/2018/02/SURelectricityact16.pdf|nl</t>
  </si>
  <si>
    <t>Act on Electricity certificates: Act No. 2011:1200 and Regulation on Electricity certificates - Regulation No. 2011:1480</t>
  </si>
  <si>
    <t>25/12/2011|Law passed;01/01/2012|Law amended</t>
  </si>
  <si>
    <t>Full text|https://climate-laws.org/rails/active_storage/blobs/eyJfcmFpbHMiOnsibWVzc2FnZSI6IkJBaHBBcFVJIiwiZXhwIjpudWxsLCJwdXIiOiJibG9iX2lkIn19--4292788e2b3b01679ff73557fd77f0b968765d18/f|;Full text - part 2|https://climate-laws.org/rails/active_storage/blobs/eyJfcmFpbHMiOnsibWVzc2FnZSI6IkJBaHBBcFlJIiwiZXhwIjpudWxsLCJwdXIiOiJibG9iX2lkIn19--eccb523ab0fabab146a18de77f5c87af65b62019/f|</t>
  </si>
  <si>
    <t>The Building and Planning Act (SFS 2010:900)</t>
  </si>
  <si>
    <t>Standards, obligations and norms|Regulation;Zoning &amp; Spatial Planning|Regulation</t>
  </si>
  <si>
    <t>Adaptation;Energy Demand</t>
  </si>
  <si>
    <t>Energy;Water</t>
  </si>
  <si>
    <t>13/07/2010|Law passed</t>
  </si>
  <si>
    <t>original version|https://climate-laws.org/rails/active_storage/blobs/eyJfcmFpbHMiOnsibWVzc2FnZSI6IkJBaHBBcllLIiwiZXhwIjpudWxsLCJwdXIiOiJibG9iX2lkIn19--faafde7029aa431f26795fd5ae64fc88845d7c2b/1683%20Swedish.pdf|sv;translation|https://climate-laws.org/rails/active_storage/blobs/eyJfcmFpbHMiOnsibWVzc2FnZSI6IkJBaHBBcmNLIiwiZXhwIjpudWxsLCJwdXIiOiJibG9iX2lkIn19--407f6e2ea7dc4504f022362a2cc03a2b4d810130/1683%20English.pdf|en</t>
  </si>
  <si>
    <t>22/06/2017|Law passed||;01/01/2018|Entry into force||</t>
  </si>
  <si>
    <t>Full text|https://climate-laws.org/rails/active_storage/blobs/eyJfcmFpbHMiOnsibWVzc2FnZSI6IkJBaHBBajRHIiwiZXhwIjpudWxsLCJwdXIiOiJibG9iX2lkIn19--124ae13eaf84010b34550bd990643d0fea98ee24/f|;Full text English|https://www.government.se/49c150/contentassets/811c575eb9654a6383cf0ed4e0d5db14/the-swedish-climate-act.pdf?TSPD_101_R0=088d4528d9ab2000ca35be284c96e742d836b609c7a8950589c69ae57318a6f4ea3a7fab1f972f9e089a7b80d3143000531b81c3dba02d71d02f206fa91fc67c9daf5b4d46ce10b4835937696c016cd7285b8b13cc778e5365f7b95ce96febee|en</t>
  </si>
  <si>
    <t>15/06/2017|Law passed||</t>
  </si>
  <si>
    <t>Full text (PDF)|https://climate-laws.org/rails/active_storage/blobs/eyJfcmFpbHMiOnsibWVzc2FnZSI6IkJBaHBBcjRGIiwiZXhwIjpudWxsLCJwdXIiOiJibG9iX2lkIn19--238ef5561e56300c9e8ce66d97c13e253eaf3579/f|;Website (Swedish Government)|https://www.government.se/information-material/2018/03/the-swedish-climate-policy-framework/|</t>
  </si>
  <si>
    <t>National Strategy for Climate Change Adaptation (Government Proposition 2017/18:163)</t>
  </si>
  <si>
    <t>Standards, obligations and norms|Regulation;Zoning &amp; Spatial Planning|Regulation;Processes, plans and strategies|Governance;MRV|Governance;Research &amp; Development, knowledge generation|Information</t>
  </si>
  <si>
    <t>Floods;Droughts;Cyclones;Tsunamis;Avalanches;Storms;Hurricanes;Landslides;Wildfires;Changes In Air Quality;Changes In Soil Quality;Heat Waves And Heat Stress;Soil Erosion;Sea Level Rise;Changes In Groundwater;Loss Of Ice Mass;Changes In Average Precipitation;Cold Waves</t>
  </si>
  <si>
    <t>Coastal zones;Residential and Commercial;Water</t>
  </si>
  <si>
    <t>08/03/2018|Bill adopted||</t>
  </si>
  <si>
    <t>Full text (PDF)|https://climate-laws.org/rails/active_storage/blobs/eyJfcmFpbHMiOnsibWVzc2FnZSI6IkJBaHBBZ0FGIiwiZXhwIjpudWxsLCJwdXIiOiJibG9iX2lkIn19--208aa69ea886995b1892ee2db3f97b1b233dc7e1/f|sv;Link to official website|https://www.regeringen.se/regeringens-politik/nationell-strategi-for-klimatanpassning/|sv</t>
  </si>
  <si>
    <t>Flood;Change In Air Quality</t>
  </si>
  <si>
    <t>Buildings;Transport;Subsidies;Health;Agriculture;Taxes</t>
  </si>
  <si>
    <t>16/01/2020|Approved||</t>
  </si>
  <si>
    <t>Full text (PDF)|https://ec.europa.eu/energy/sites/ener/files/documents/se_final_necp_main_en.pdf|en;Original version (PDF)|https://ec.europa.eu/energy/sites/ener/files/documents/se_final_necp_main_se.pdf|sv</t>
  </si>
  <si>
    <t>Ordinance (2017: 1319) on state support for measures that contribute to industry's climate change</t>
  </si>
  <si>
    <t>18/12/2018|Approved||;01/04/2021|Amended||</t>
  </si>
  <si>
    <t>Link to 2017 document as amended |https://www.riksdagen.se/sv/dokument-lagar/dokument/svensk-forfattningssamling/forordning-20171319-om-statligt-stod-till_sfs-2017-1319|sv;Link to 2021 regulation letter|https://www.esv.se/statsliggaren/regleringsbrev/?rbid=21440|sv</t>
  </si>
  <si>
    <t>CO2 Act (Act 641.71, fully revised version)</t>
  </si>
  <si>
    <t>01/01/2013|Law passed||;25/11/2020|Ordinance passed||;13/06/2021|Referendum with negative result||</t>
  </si>
  <si>
    <t>Full text|https://climate-laws.org/rails/active_storage/blobs/eyJfcmFpbHMiOnsibWVzc2FnZSI6IkJBaHBBaWNLIiwiZXhwIjpudWxsLCJwdXIiOiJibG9iX2lkIn19--345a20dd7ea4d39d23cad26016cd6b9f5961e2c1/f|en;Provisory version of 2020 ordinance|https://www.newsd.admin.ch/newsd/message/attachments/63983.pdf|fr;Official explicatory report for the 2020 ordinance|https://www.newsd.admin.ch/newsd/message/attachments/63990.pdf|fr</t>
  </si>
  <si>
    <t>Adaptation to Climate Change in Switzerland: Goals, Challenges and Fields of Action (UD-1055-E) (Swiss National Adaptation Strategy: Part I) and Adaptation to Climate Change in Switzerland: Plan of Action 2014-2019 (1081-F) (Swiss National Adaptation Strategy: Part II)</t>
  </si>
  <si>
    <t>Flood;Drought;Glacial;Floods;Droughts;Landslides;Changes In Air Quality;Changes In Soil Quality;Changes In Average Precipitation;Changes In Surface Water;Change In Air Quality;Heatwaves;Heat Waves;Change In Surface Water;Changes In Average Temperature;Glacial Melting;Change In Soil Quality;Changes In Precipitation;Change In Average Temperature</t>
  </si>
  <si>
    <t>Economy-wide;Energy;Environment;Transportation;Urban;Water</t>
  </si>
  <si>
    <t>09/04/2014|Law passed</t>
  </si>
  <si>
    <t>Full text (PDF)|http://www.lse.ac.uk/GranthamInstitute/wp-content/uploads/laws/1689%20French.pdf|fr;Full text (PDF)|http://www.lse.ac.uk/GranthamInstitute/wp-content/uploads/laws/1689%20German.pdf|de</t>
  </si>
  <si>
    <t>Regulation on the CO2 Emission for New Passenger Vehicles</t>
  </si>
  <si>
    <t>Standards, obligations and norms|Regulation;Education, training and knowledge dissemination|Information</t>
  </si>
  <si>
    <t>Industry;Residential and Commercial;Transportation</t>
  </si>
  <si>
    <t>01/05/2012|Law passed</t>
  </si>
  <si>
    <t>German version|https://climate-laws.org/rails/active_storage/blobs/eyJfcmFpbHMiOnsibWVzc2FnZSI6IkJBaHBBcmtLIiwiZXhwIjpudWxsLCJwdXIiOiJibG9iX2lkIn19--55eb8332021ae9986dcb1b13f515b36a23b19c19/1690%20German.pdf|de;French version|https://climate-laws.org/rails/active_storage/blobs/eyJfcmFpbHMiOnsibWVzc2FnZSI6IkJBaHBBcm9LIiwiZXhwIjpudWxsLCJwdXIiOiJibG9iX2lkIn19--f4ed01e895471b0e2fa9bf916ab2d5ea43436e64/1690%20French.pdf|fr;English version|https://climate-laws.org/rails/active_storage/blobs/eyJfcmFpbHMiOnsibWVzc2FnZSI6IkJBaHBBcnNLIiwiZXhwIjpudWxsLCJwdXIiOiJibG9iX2lkIn19--d38e15c59212015e1b5ffb40e36a87f85f4e8f98/1690%20English.pdf|en</t>
  </si>
  <si>
    <t>Mineral Oil Tax reduction on Biofuels and Natural Gas (Mineral Oil Tax Act) (amendment)</t>
  </si>
  <si>
    <t>Carbon Pricing;Energy Demand;Transportation</t>
  </si>
  <si>
    <t>01/07/2008|Law passed</t>
  </si>
  <si>
    <t>German version|https://climate-laws.org/rails/active_storage/blobs/eyJfcmFpbHMiOnsibWVzc2FnZSI6IkJBaHBBcndLIiwiZXhwIjpudWxsLCJwdXIiOiJibG9iX2lkIn19--79012d238f25103bb71562b71e239c3dfb84485f/1691%20German.pdf|de;French version|https://climate-laws.org/rails/active_storage/blobs/eyJfcmFpbHMiOnsibWVzc2FnZSI6IkJBaHBBcjBLIiwiZXhwIjpudWxsLCJwdXIiOiJibG9iX2lkIn19--003b65e728ec291f494115676d9d5594c8b97dcb/1691%20French.pdf|fr</t>
  </si>
  <si>
    <t>Federal Heavy Vehicle Fee Act 641.81 and Federal Heavy Vehicle Fee Ordinance 641.811</t>
  </si>
  <si>
    <t>01/02/2000|Federal Heavy Vehicle Fee Act adopted;01/01/2001|Federal Heavy Vehicle Fee Ordinance issued</t>
  </si>
  <si>
    <t>German version|https://climate-laws.org/rails/active_storage/blobs/eyJfcmFpbHMiOnsibWVzc2FnZSI6IkJBaHBBcjRLIiwiZXhwIjpudWxsLCJwdXIiOiJibG9iX2lkIn19--1de2520b077319fb106dc2b8f8bed9364dde4de3/1692%20German.pdf|de;French version|https://climate-laws.org/rails/active_storage/blobs/eyJfcmFpbHMiOnsibWVzc2FnZSI6IkJBaHBBcjhLIiwiZXhwIjpudWxsLCJwdXIiOiJibG9iX2lkIn19--12763d45636af1036ec7cfcf552f482a545afdc6/1692%20French.pdf|fr</t>
  </si>
  <si>
    <t>Energy Act 730.0 and related regulation</t>
  </si>
  <si>
    <t>01/01/1999|Law passed||;25/12/2007|Amended||;30/09/2016|Fully revised||;01/01/2018|Entry into force of revised version||</t>
  </si>
  <si>
    <t>German version|https://climate-laws.org/rails/active_storage/blobs/eyJfcmFpbHMiOnsibWVzc2FnZSI6IkJBaHBBc0FLIiwiZXhwIjpudWxsLCJwdXIiOiJibG9iX2lkIn19--b6ec7f742786e27c92fccb51d307fba0cde4fd2c/1693%20German.pdf|de;French version|https://climate-laws.org/rails/active_storage/blobs/eyJfcmFpbHMiOnsibWVzc2FnZSI6IkJBaHBBc0VLIiwiZXhwIjpudWxsLCJwdXIiOiJibG9iX2lkIn19--cb9f498c1ddd223d5f03b5b5cc052b7b2e529eba/1693%20French.pdf|fr;Link to official website for updated enforced version|https://www.fedlex.admin.ch/eli/cc/2017/762/fr|fr;Link to ordinance 730.02|https://www.fedlex.admin.ch/eli/cc/2017/765/fr|fr</t>
  </si>
  <si>
    <t>Forest Act 921.0</t>
  </si>
  <si>
    <t>Environment;LULUCF;Transportation;Water</t>
  </si>
  <si>
    <t>01/01/1993|Law passed</t>
  </si>
  <si>
    <t>German version|https://climate-laws.org/rails/active_storage/blobs/eyJfcmFpbHMiOnsibWVzc2FnZSI6IkJBaHBBc0lLIiwiZXhwIjpudWxsLCJwdXIiOiJibG9iX2lkIn19--101368e6e178e0131ad2c65044bc1231e1f8e7fb/1694%20German.pdf|de;French version|https://climate-laws.org/rails/active_storage/blobs/eyJfcmFpbHMiOnsibWVzc2FnZSI6IkJBaHBBc01LIiwiZXhwIjpudWxsLCJwdXIiOiJibG9iX2lkIn19--38c972c8baeb9a7ced96e9dd67336baf5336b3a7/1694%20French.pdf|fr;English version|https://climate-laws.org/rails/active_storage/blobs/eyJfcmFpbHMiOnsibWVzc2FnZSI6IkJBaHBBc1FLIiwiZXhwIjpudWxsLCJwdXIiOiJibG9iX2lkIn19--4ecfd800d937c37223e2bfe4d3be6c748f7ff8ca/1694%20English.pdf|en</t>
  </si>
  <si>
    <t>Link to official website|https://www.bfe.admin.ch/bfe/en/home/policy/energy-strategy-2050.html|en;Full document (PDF)|https://climate-laws.org/rails/active_storage/blobs/eyJfcmFpbHMiOnsibWVzc2FnZSI6IkJBaHBBZzBPIiwiZXhwIjpudWxsLCJwdXIiOiJibG9iX2lkIn19--f69dbf021420613a398dd882b254a863fdc3af11/8993-ES2050_Standardreferat_2018.01.18_E.pdf|en</t>
  </si>
  <si>
    <t>Law No.587 on Promoting the Use of Renewable Energy (Renewable Energy Law)</t>
  </si>
  <si>
    <t>Agriculture;Energy;Industry;LULUCF;Residential and Commercial;Transportation;Waste;Water</t>
  </si>
  <si>
    <t>12/01/2010|Law passed</t>
  </si>
  <si>
    <t>Russian version|https://climate-laws.org/rails/active_storage/blobs/eyJfcmFpbHMiOnsibWVzc2FnZSI6IkJBaHBBc1VLIiwiZXhwIjpudWxsLCJwdXIiOiJibG9iX2lkIn19--77efe90b54548c2b6e161733d9e82bdaf4763824/1695%20Russian.pdf|ru;English version|https://climate-laws.org/rails/active_storage/blobs/eyJfcmFpbHMiOnsibWVzc2FnZSI6IkJBaHBBc1lLIiwiZXhwIjpudWxsLCJwdXIiOiJibG9iX2lkIn19--79a57d818e08096cfa2f6370e3aebc334c92f543/1695%20English.pdf|en</t>
  </si>
  <si>
    <t>National Climate Change Strategy 2021-2026</t>
  </si>
  <si>
    <t>Provision of climate funds|Direct Investment;Capacity building|Governance;Processes, plans and strategies|Governance;International cooperation|Governance;Education, training and knowledge dissemination|Information</t>
  </si>
  <si>
    <t>Floods;Droughts;Landslides;Wildfires;Heat Waves And Heat Stress;Soil Erosion;Sea Level Rise</t>
  </si>
  <si>
    <t>Adaptation;Institutions / Administrative Arrangements;Research And Development;Energy Supply;Transportation;Gender;Cc Gap</t>
  </si>
  <si>
    <t>Agriculture;Energy;Environment;Health;Industry;LULUCF;Tourism;Transportation;Waste;Water</t>
  </si>
  <si>
    <t>25/12/2012|Passed||;01/01/2021|Amended||</t>
  </si>
  <si>
    <t>2012 version|https://climate-laws.org/rails/active_storage/blobs/eyJfcmFpbHMiOnsibWVzc2FnZSI6IkJBaHBBa1FHIiwiZXhwIjpudWxsLCJwdXIiOiJibG9iX2lkIn19--7cf43a7a0570d4b01060bb3072faa4b1827d2ef5/f|en;2021-2026 version|https://climate-laws.org/rails/active_storage/blobs/eyJfcmFpbHMiOnsibWVzc2FnZSI6IkJBaHBBbU1PIiwiZXhwIjpudWxsLCJwdXIiOiJibG9iX2lkIn19--6e48fdcdbc249ab8f7215f02be1c7b015319c77e/NCCRS-2021-2026_-Final_PK.pdf|en</t>
  </si>
  <si>
    <t>Decree to establish a Greenhouse Gas Management Organization B.E. 2550</t>
  </si>
  <si>
    <t>07/07/2007|Law passed</t>
  </si>
  <si>
    <t>Full text|https://climate-laws.org/rails/active_storage/blobs/eyJfcmFpbHMiOnsibWVzc2FnZSI6IkJBaHBBbGtKIiwiZXhwIjpudWxsLCJwdXIiOiJibG9iX2lkIn19--259c24ca562813a79080723a5968ccb6c0109fa9/F|th;English translation|https://climate-laws.org/rails/active_storage/blobs/eyJfcmFpbHMiOnsibWVzc2FnZSI6IkJBaHBBc2NLIiwiZXhwIjpudWxsLCJwdXIiOiJibG9iX2lkIn19--87d7008436250cb83cf4042986d6b600f9000ab8/1710%20English.pdf|en</t>
  </si>
  <si>
    <t>Energy Conservation Promotion Act B.E. 2535 and B.E. 2550</t>
  </si>
  <si>
    <t>Institutional mandates|Governance;Education, training and knowledge dissemination|Information</t>
  </si>
  <si>
    <t>Energy;Residential and Commercial;Transportation;Waste</t>
  </si>
  <si>
    <t>03/04/1992|Law passed;01/06/2008|Law amended</t>
  </si>
  <si>
    <t>Full text|https://climate-laws.org/rails/active_storage/blobs/eyJfcmFpbHMiOnsibWVzc2FnZSI6IkJBaHBBb0lJIiwiZXhwIjpudWxsLCJwdXIiOiJibG9iX2lkIn19--a227207797d80a5682849c25aabccceec2cf1188/f|;Full text - part 2|https://climate-laws.org/rails/active_storage/blobs/eyJfcmFpbHMiOnsibWVzc2FnZSI6IkJBaHBBb01JIiwiZXhwIjpudWxsLCJwdXIiOiJibG9iX2lkIn19--e705fba7deb1472bde9e8e4db9bb705fc5b7b522/f|</t>
  </si>
  <si>
    <t>Law No. 91-39 relating to the fight against calamities, their prevention and the organisation of relief, and implementing decree No. 93-942</t>
  </si>
  <si>
    <t>Drought;Fires</t>
  </si>
  <si>
    <t>Disaster Risk Management (Drm);Economy-wide;Public Sector</t>
  </si>
  <si>
    <t>08/06/1991|Law passed||;26/04/1993|Application decree approved||;21/12/2004|Decree amended||</t>
  </si>
  <si>
    <t>Full text of decree 93-942 (PDF)|https://climate-laws.org/rails/active_storage/blobs/eyJfcmFpbHMiOnsibWVzc2FnZSI6IkJBaHBBckVPIiwiZXhwIjpudWxsLCJwdXIiOiJibG9iX2lkIn19--b78d1f1305c742104f636f5157f3fc26c60b7b6d/D%C3%A9cret_n%C2%B093-942.pdf|fr;Link to full text of law on external website|https://legislation-securite.tn/law/45346|fr</t>
  </si>
  <si>
    <t>Tunisian National strategy and action plan for biodiversity 2018-2030</t>
  </si>
  <si>
    <t>01/12/2017|Approved||</t>
  </si>
  <si>
    <t>Link to full text on external website (PDF)|https://www.cbd.int/doc/world/tn/tn-nbsap-oth-fr.pdf|fr;Dedicated page on official website|http://www.environnement.gov.tn/index.php/fr/112-contenu-fr/la-biodiversite?start=3|fr</t>
  </si>
  <si>
    <t>Climate Change Action Plan 2011-2023</t>
  </si>
  <si>
    <t>Provision of climate funds|Direct Investment;Nature based solutions and ecosystem restoration|Direct Investment;Capacity building|Governance;Research &amp; Development, knowledge generation|Information</t>
  </si>
  <si>
    <t>Floods;Droughts;Wildfires;Changes In Soil Quality;Soil Erosion;Changes In Groundwater;Changes In Average Precipitation;Changes In Surface Water;Heatwaves</t>
  </si>
  <si>
    <t>Adaptation;Institutions / Administrative Arrangements;Energy Supply;Transportation</t>
  </si>
  <si>
    <t>Agriculture;Economy-wide;Energy;LULUCF;Residential and Commercial;Transportation;Water</t>
  </si>
  <si>
    <t>02/05/2011|Law passed||</t>
  </si>
  <si>
    <t>Turkish version|https://climate-laws.org/rails/active_storage/blobs/eyJfcmFpbHMiOnsibWVzc2FnZSI6IkJBaHBBc2dLIiwiZXhwIjpudWxsLCJwdXIiOiJibG9iX2lkIn19--f5b76b52a69aa5dc7dfbcf8923ffc662e432660d/1720%20Turkish.pdf|tr;English version|https://climate-laws.org/rails/active_storage/blobs/eyJfcmFpbHMiOnsibWVzc2FnZSI6IkJBaHBBc2tLIiwiZXhwIjpudWxsLCJwdXIiOiJibG9iX2lkIn19--7623e73d48273f14997bcaffa14238c9c204a725/1720%20English.pdf|en</t>
  </si>
  <si>
    <t>Act No. 5686 on Geothermal Resources And Mineral Waters</t>
  </si>
  <si>
    <t>13/06/2007|Law passed</t>
  </si>
  <si>
    <t>Turkish version|https://climate-laws.org/rails/active_storage/blobs/eyJfcmFpbHMiOnsibWVzc2FnZSI6IkJBaHBBc29LIiwiZXhwIjpudWxsLCJwdXIiOiJibG9iX2lkIn19--2a43c1378e2052553f72a03a119dab364db8e853/1722%20Turkish.pdf|tr;English version|https://climate-laws.org/rails/active_storage/blobs/eyJfcmFpbHMiOnsibWVzc2FnZSI6IkJBaHBBc3NLIiwiZXhwIjpudWxsLCJwdXIiOiJibG9iX2lkIn19--f07b832f6e60d07123f484b06cdf3096f41673ac/1722%20English.pdf|en</t>
  </si>
  <si>
    <t>Act No. 5346 on Utilization of Renewable Energy Sources for the Purposes of Generating Electrical Energy (Renewable Energy Law)</t>
  </si>
  <si>
    <t>18/05/2005|Law passed||;29/12/2010|Amended by law 6094||;26/04/2020|Amended by law 7226||;18/09/2020|Approved||</t>
  </si>
  <si>
    <t>Turkish version|https://climate-laws.org/rails/active_storage/blobs/eyJfcmFpbHMiOnsibWVzc2FnZSI6IkJBaHBBc3dLIiwiZXhwIjpudWxsLCJwdXIiOiJibG9iX2lkIn19--082278d03b7ab27b361eb64a9a8dc30eabd81719/1723%20Turkish.pdf|tr;English version|https://climate-laws.org/rails/active_storage/blobs/eyJfcmFpbHMiOnsibWVzc2FnZSI6IkJBaHBBczBLIiwiZXhwIjpudWxsLCJwdXIiOiJibG9iX2lkIn19--545bb6842aa518adb459df6ed7c80983f1f63b91/1723%20English.pdf|en;2020 amendment (Law 7226), link to official website|https://www.resmigazete.gov.tr/eskiler/2020/03/20200326M1-1.htm|tr;Full text Decree No. 31248/2020|https://www.resmigazete.gov.tr/eskiler/2020/09/20200918.pdf|tr;law 6094|https://cakmak.av.tr/wp-content/uploads/2019/07/1-Law-No.-6094-Amending-The-Renewable-Energy-Law-1.pdf|en</t>
  </si>
  <si>
    <t>Climate Change Strategy 2010-2020</t>
  </si>
  <si>
    <t>Energy;Industry;Residential and Commercial;Transportation;Waste</t>
  </si>
  <si>
    <t>01/05/2010|Law passed</t>
  </si>
  <si>
    <t>Turkish version|https://climate-laws.org/rails/active_storage/blobs/eyJfcmFpbHMiOnsibWVzc2FnZSI6IkJBaHBBdFVLIiwiZXhwIjpudWxsLCJwdXIiOiJibG9iX2lkIn19--ec2bb1fecd6c73a6fc927b6eaeb2630f14c95806/2001%20Turkish.pdf|tr;English version|https://climate-laws.org/rails/active_storage/blobs/eyJfcmFpbHMiOnsibWVzc2FnZSI6IkJBaHBBdFlLIiwiZXhwIjpudWxsLCJwdXIiOiJibG9iX2lkIn19--a01bd4edaea5bf13401100de57d6db7f54b14e00/2001%20English.pdf|en</t>
  </si>
  <si>
    <t>Electricity Market Law (No. 6446) introducing tax deductions for renewables</t>
  </si>
  <si>
    <t>Standards, obligations and norms|Regulation;Tax incentives|Economic;Capacity building|Governance</t>
  </si>
  <si>
    <t>14/03/2013|Law passed||;28/07/2020|Amended||</t>
  </si>
  <si>
    <t>Full text|https://policy.asiapacificenergy.org/sites/default/files/Electricity%20Market%20Law%206446%20-%20English.pdf(7-mar-18),https://policy.asiapacificenergy.org/sites/default/files/The%20electricity%20market%20legislation.pdf(7-mar-18)|;2020 amending regulation, full text (PDF)|https://climate-laws.org/rails/active_storage/blobs/eyJfcmFpbHMiOnsibWVzc2FnZSI6IkJBaHBBbEVNIiwiZXhwIjpudWxsLCJwdXIiOiJibG9iX2lkIn19--8a78ebd60d969c7d8c9ea72ca069d5e244b5d79e/20200728REG%20elec%20turkey.pdf|tr</t>
  </si>
  <si>
    <t>Regulation on the local content used in facilities producing electric energy from renewable sources</t>
  </si>
  <si>
    <t>Subsidies|Economic;Provision of climate funds|Direct Investment;Processes, plans and strategies|Governance</t>
  </si>
  <si>
    <t>24/06/2016|Regulation published||;28/05/2020|Regulation amended||</t>
  </si>
  <si>
    <t>Link to 2016 regulation|https://www.resmigazete.gov.tr/eskiler/2016/06/20160624-1.htm|tr;Link to 2020 amending regulation|https://www.resmigazete.gov.tr/eskiler/2020/05/20200528-6.htm|tr</t>
  </si>
  <si>
    <t>Decree 1044/2019 and Regulation on Unlicensed Electricity Production in Electricity Market</t>
  </si>
  <si>
    <t>Decree;Regulation/Rules</t>
  </si>
  <si>
    <t>09/05/2019|decree passed||;12/05/2019|regulation passed||</t>
  </si>
  <si>
    <t>Decree|https://www.resmigazete.gov.tr/eskiler/2019/05/20190510-10.pdf|tr;Regulation|https://www.resmigazete.gov.tr/eskiler/2019/05/20190512-1.htm|tr</t>
  </si>
  <si>
    <t>Financial Year 2020/21 Ugandan National Budget</t>
  </si>
  <si>
    <t>Adaptation;Mitigation;Loss And Damage</t>
  </si>
  <si>
    <t>Other|Direct Investment</t>
  </si>
  <si>
    <t>Economy-wide;LULUCF;Social development</t>
  </si>
  <si>
    <t>01/12/2019|approved||</t>
  </si>
  <si>
    <t>Link to finance minister's speech|https://www.finance.go.ug/sites/default/files/Publications/FY%202020-21%20Budget%20Speech_Final.pdf|en;Link to December 2019 framework paper|https://budget.go.ug/sites/default/files/National%20Budget%20docs/National%20Budget%20Framework%20Paper%20FY%202020-21_0.pdf|en</t>
  </si>
  <si>
    <t>Decree law</t>
  </si>
  <si>
    <t>Directive</t>
  </si>
  <si>
    <t>EU decision</t>
  </si>
  <si>
    <t>EU directive</t>
  </si>
  <si>
    <t>EU regulation</t>
  </si>
  <si>
    <t>Royal decree</t>
  </si>
  <si>
    <t>Strategic assessment</t>
  </si>
  <si>
    <t>Law and Plan</t>
  </si>
  <si>
    <t>Decision and Plan</t>
  </si>
</sst>
</file>

<file path=xl/styles.xml><?xml version="1.0" encoding="utf-8"?>
<styleSheet xmlns="http://schemas.openxmlformats.org/spreadsheetml/2006/main" xmlns:x14ac="http://schemas.microsoft.com/office/spreadsheetml/2009/9/ac" xmlns:mc="http://schemas.openxmlformats.org/markup-compatibility/2006">
  <fonts count="94">
    <font>
      <sz val="10.0"/>
      <color rgb="FF000000"/>
      <name val="Arial"/>
      <scheme val="minor"/>
    </font>
    <font>
      <color theme="1"/>
      <name val="Arial"/>
      <scheme val="minor"/>
    </font>
    <font>
      <u/>
      <color rgb="FF0000FF"/>
    </font>
    <font>
      <sz val="10.0"/>
      <color theme="1"/>
      <name val="Arial"/>
      <scheme val="minor"/>
    </font>
    <font>
      <u/>
      <color rgb="FF0000FF"/>
    </font>
    <font>
      <u/>
      <color rgb="FF0000FF"/>
    </font>
    <font>
      <color rgb="FF000000"/>
      <name val="Arial"/>
    </font>
    <font>
      <u/>
      <color rgb="FF0000FF"/>
    </font>
    <font>
      <b/>
      <sz val="11.0"/>
      <color rgb="FF000000"/>
      <name val="Calibri"/>
    </font>
    <font>
      <b/>
      <color theme="1"/>
      <name val="Arial"/>
      <scheme val="minor"/>
    </font>
    <font>
      <sz val="11.0"/>
      <color rgb="FF000000"/>
      <name val="Calibri"/>
    </font>
    <font>
      <b/>
      <sz val="10.0"/>
      <color rgb="FF000000"/>
      <name val="Calibri"/>
    </font>
    <font>
      <b/>
      <sz val="10.0"/>
      <color theme="1"/>
      <name val="Calibri"/>
    </font>
    <font>
      <sz val="10.0"/>
      <color rgb="FF000000"/>
      <name val="Calibri"/>
    </font>
    <font>
      <u/>
      <sz val="10.0"/>
      <color rgb="FF1155CC"/>
      <name val="Calibri"/>
    </font>
    <font>
      <sz val="10.0"/>
      <color theme="1"/>
      <name val="Calibri"/>
    </font>
    <font>
      <u/>
      <sz val="10.0"/>
      <color rgb="FF000000"/>
      <name val="Calibri"/>
    </font>
    <font>
      <u/>
      <sz val="10.0"/>
      <color rgb="FF000000"/>
      <name val="Calibri"/>
    </font>
    <font>
      <u/>
      <sz val="10.0"/>
      <color rgb="FF000000"/>
      <name val="Calibri"/>
    </font>
    <font>
      <sz val="10.0"/>
      <color rgb="FF162937"/>
      <name val="Calibri"/>
    </font>
    <font>
      <u/>
      <sz val="10.0"/>
      <color rgb="FF000000"/>
      <name val="Calibri"/>
    </font>
    <font>
      <u/>
      <sz val="10.0"/>
      <color rgb="FF000000"/>
      <name val="Calibri"/>
    </font>
    <font>
      <u/>
      <sz val="10.0"/>
      <color rgb="FF1155CC"/>
      <name val="Calibri"/>
    </font>
    <font>
      <u/>
      <sz val="10.0"/>
      <color rgb="FF000000"/>
      <name val="Calibri"/>
    </font>
    <font>
      <u/>
      <sz val="10.0"/>
      <color rgb="FF1155CC"/>
      <name val="Calibri"/>
    </font>
    <font>
      <u/>
      <sz val="10.0"/>
      <color rgb="FF1155CC"/>
      <name val="Calibri"/>
    </font>
    <font>
      <u/>
      <sz val="10.0"/>
      <color rgb="FF000000"/>
      <name val="Calibri"/>
    </font>
    <font>
      <color theme="1"/>
      <name val="Calibri"/>
    </font>
    <font>
      <u/>
      <sz val="10.0"/>
      <color rgb="FF000000"/>
      <name val="Calibri"/>
    </font>
    <font>
      <sz val="10.0"/>
      <color rgb="FF333333"/>
      <name val="Calibri"/>
    </font>
    <font>
      <sz val="10.0"/>
      <color rgb="FF565862"/>
      <name val="Calibri"/>
    </font>
    <font>
      <u/>
      <sz val="10.0"/>
      <color rgb="FF000000"/>
      <name val="Calibri"/>
    </font>
    <font>
      <u/>
      <sz val="10.0"/>
      <color rgb="FF000000"/>
      <name val="Calibri"/>
    </font>
    <font>
      <u/>
      <sz val="10.0"/>
      <color rgb="FF000000"/>
      <name val="Calibri"/>
    </font>
    <font>
      <sz val="10.0"/>
      <color rgb="FF363636"/>
      <name val="Calibri"/>
    </font>
    <font>
      <u/>
      <sz val="10.0"/>
      <color rgb="FF000000"/>
      <name val="Calibri"/>
    </font>
    <font>
      <u/>
      <sz val="10.0"/>
      <color rgb="FF000000"/>
      <name val="Calibri"/>
    </font>
    <font>
      <b/>
      <sz val="11.0"/>
      <color theme="1"/>
      <name val="Calibri"/>
    </font>
    <font>
      <sz val="11.0"/>
      <color theme="1"/>
      <name val="Calibri"/>
    </font>
    <font>
      <color theme="1"/>
      <name val="Arial"/>
    </font>
    <font>
      <u/>
      <sz val="11.0"/>
      <color rgb="FF000000"/>
      <name val="Calibri"/>
    </font>
    <font>
      <u/>
      <sz val="11.0"/>
      <color rgb="FF000000"/>
      <name val="Calibri"/>
    </font>
    <font>
      <sz val="11.0"/>
      <color rgb="FF333333"/>
      <name val="Calibri"/>
    </font>
    <font>
      <sz val="11.0"/>
      <color rgb="FF565862"/>
      <name val="Calibri"/>
    </font>
    <font>
      <color rgb="FF000000"/>
      <name val="Roboto"/>
    </font>
    <font>
      <u/>
      <sz val="11.0"/>
      <color rgb="FF000000"/>
      <name val="Calibri"/>
    </font>
    <font>
      <u/>
      <color rgb="FF0000FF"/>
    </font>
    <font>
      <u/>
      <color rgb="FF1155CC"/>
    </font>
    <font>
      <u/>
      <color rgb="FF1155CC"/>
    </font>
    <font>
      <u/>
      <color rgb="FF0000FF"/>
    </font>
    <font>
      <sz val="11.0"/>
      <color rgb="FF000000"/>
      <name val="&quot;docs-Calibri&quot;"/>
    </font>
    <font>
      <sz val="11.0"/>
      <color theme="1"/>
      <name val="Sans-serif"/>
    </font>
    <font>
      <sz val="13.0"/>
      <color theme="1"/>
      <name val="Serif"/>
    </font>
    <font>
      <u/>
      <color rgb="FF1155CC"/>
      <name val="Calibri"/>
    </font>
    <font>
      <u/>
      <color rgb="FF1155CC"/>
      <name val="Calibri"/>
    </font>
    <font>
      <color rgb="FF222222"/>
      <name val="Calibri"/>
    </font>
    <font>
      <u/>
      <color rgb="FF1155CC"/>
      <name val="Calibri"/>
    </font>
    <font>
      <color rgb="FF3C3C3C"/>
      <name val="Calibri"/>
    </font>
    <font>
      <u/>
      <sz val="11.0"/>
      <color rgb="FF0000FF"/>
      <name val="Calibri"/>
    </font>
    <font>
      <sz val="11.0"/>
      <color rgb="FF222222"/>
      <name val="Calibri"/>
    </font>
    <font>
      <sz val="11.0"/>
      <color rgb="FF000000"/>
      <name val="Docs-Calibri"/>
    </font>
    <font>
      <u/>
      <color rgb="FF0000FF"/>
    </font>
    <font>
      <color theme="1"/>
      <name val="Sans-serif"/>
    </font>
    <font>
      <u/>
      <color rgb="FF0000FF"/>
    </font>
    <font>
      <u/>
      <color rgb="FF0000FF"/>
    </font>
    <font>
      <color rgb="FF363636"/>
      <name val="Arial"/>
    </font>
    <font>
      <sz val="10.0"/>
      <color rgb="FF1D1D1B"/>
      <name val="Arial"/>
    </font>
    <font>
      <u/>
      <color rgb="FF1155CC"/>
    </font>
    <font>
      <sz val="10.0"/>
      <color rgb="FF0B0C0C"/>
      <name val="Arial"/>
      <scheme val="minor"/>
    </font>
    <font>
      <sz val="10.0"/>
      <color rgb="FF000000"/>
      <name val="Arial"/>
    </font>
    <font>
      <sz val="10.0"/>
      <color theme="1"/>
      <name val="Arial"/>
    </font>
    <font>
      <sz val="10.0"/>
      <color rgb="FF222222"/>
      <name val="Arial"/>
      <scheme val="minor"/>
    </font>
    <font>
      <color rgb="FF1B1B1B"/>
      <name val="Arial"/>
      <scheme val="minor"/>
    </font>
    <font>
      <sz val="10.0"/>
      <color rgb="FF0A2458"/>
      <name val="Arial"/>
    </font>
    <font>
      <u/>
      <color rgb="FF0000FF"/>
    </font>
    <font>
      <u/>
      <color rgb="FF1155CC"/>
    </font>
    <font>
      <u/>
      <sz val="11.0"/>
      <color rgb="FF000000"/>
      <name val="Inconsolata"/>
    </font>
    <font>
      <u/>
      <color rgb="FF1155CC"/>
      <name val="Arial"/>
    </font>
    <font>
      <sz val="11.0"/>
      <color rgb="FF000000"/>
      <name val="Inconsolata"/>
    </font>
    <font>
      <u/>
      <color rgb="FF1155CC"/>
      <name val="Arial"/>
    </font>
    <font>
      <u/>
      <color rgb="FF1155CC"/>
      <name val="Arial"/>
    </font>
    <font>
      <sz val="10.0"/>
      <color rgb="FF131313"/>
      <name val="Arial"/>
      <scheme val="minor"/>
    </font>
    <font>
      <u/>
      <sz val="10.0"/>
      <color rgb="FF000000"/>
      <name val="細明體"/>
    </font>
    <font>
      <u/>
      <color rgb="FF1155CC"/>
      <name val="Arial"/>
    </font>
    <font>
      <sz val="10.0"/>
      <color theme="1"/>
      <name val="&quot;times new roman&quot;"/>
    </font>
    <font>
      <u/>
      <color rgb="FF1155CC"/>
      <name val="Arial"/>
    </font>
    <font>
      <sz val="10.0"/>
      <color theme="1"/>
      <name val="Verdana"/>
    </font>
    <font>
      <sz val="10.0"/>
      <color theme="1"/>
      <name val="&quot;Open Sans Extrabold&quot;"/>
    </font>
    <font>
      <color rgb="FFFFFFFF"/>
      <name val="Arial"/>
    </font>
    <font>
      <u/>
      <color rgb="FF1155CC"/>
      <name val="Arial"/>
    </font>
    <font>
      <sz val="10.0"/>
      <color theme="1"/>
      <name val="Open_sanslight"/>
    </font>
    <font>
      <sz val="10.0"/>
      <color theme="1"/>
      <name val="&quot;Frutiger Neue&quot;"/>
    </font>
    <font>
      <sz val="10.0"/>
      <color rgb="FF202124"/>
      <name val="Inherit"/>
    </font>
    <font>
      <u/>
      <sz val="11.0"/>
      <color rgb="FF000000"/>
      <name val="Docs-Calibri"/>
    </font>
  </fonts>
  <fills count="19">
    <fill>
      <patternFill patternType="none"/>
    </fill>
    <fill>
      <patternFill patternType="lightGray"/>
    </fill>
    <fill>
      <patternFill patternType="solid">
        <fgColor rgb="FFFFFF00"/>
        <bgColor rgb="FFFFFF00"/>
      </patternFill>
    </fill>
    <fill>
      <patternFill patternType="solid">
        <fgColor theme="0"/>
        <bgColor theme="0"/>
      </patternFill>
    </fill>
    <fill>
      <patternFill patternType="solid">
        <fgColor rgb="FFD9EAD3"/>
        <bgColor rgb="FFD9EAD3"/>
      </patternFill>
    </fill>
    <fill>
      <patternFill patternType="solid">
        <fgColor rgb="FFD9D9D9"/>
        <bgColor rgb="FFD9D9D9"/>
      </patternFill>
    </fill>
    <fill>
      <patternFill patternType="solid">
        <fgColor rgb="FFFFFFFF"/>
        <bgColor rgb="FFFFFFFF"/>
      </patternFill>
    </fill>
    <fill>
      <patternFill patternType="solid">
        <fgColor rgb="FFC9DAF8"/>
        <bgColor rgb="FFC9DAF8"/>
      </patternFill>
    </fill>
    <fill>
      <patternFill patternType="solid">
        <fgColor rgb="FFE69138"/>
        <bgColor rgb="FFE69138"/>
      </patternFill>
    </fill>
    <fill>
      <patternFill patternType="solid">
        <fgColor rgb="FFFF0000"/>
        <bgColor rgb="FFFF0000"/>
      </patternFill>
    </fill>
    <fill>
      <patternFill patternType="solid">
        <fgColor rgb="FFFFF2CC"/>
        <bgColor rgb="FFFFF2CC"/>
      </patternFill>
    </fill>
    <fill>
      <patternFill patternType="solid">
        <fgColor theme="6"/>
        <bgColor theme="6"/>
      </patternFill>
    </fill>
    <fill>
      <patternFill patternType="solid">
        <fgColor theme="5"/>
        <bgColor theme="5"/>
      </patternFill>
    </fill>
    <fill>
      <patternFill patternType="solid">
        <fgColor rgb="FFFFD966"/>
        <bgColor rgb="FFFFD966"/>
      </patternFill>
    </fill>
    <fill>
      <patternFill patternType="solid">
        <fgColor rgb="FFF1C232"/>
        <bgColor rgb="FFF1C232"/>
      </patternFill>
    </fill>
    <fill>
      <patternFill patternType="solid">
        <fgColor rgb="FFB6D7A8"/>
        <bgColor rgb="FFB6D7A8"/>
      </patternFill>
    </fill>
    <fill>
      <patternFill patternType="solid">
        <fgColor rgb="FFF9F9F9"/>
        <bgColor rgb="FFF9F9F9"/>
      </patternFill>
    </fill>
    <fill>
      <patternFill patternType="solid">
        <fgColor rgb="FFF8F9FA"/>
        <bgColor rgb="FFF8F9FA"/>
      </patternFill>
    </fill>
    <fill>
      <patternFill patternType="solid">
        <fgColor rgb="FFFF9900"/>
        <bgColor rgb="FFFF9900"/>
      </patternFill>
    </fill>
  </fills>
  <borders count="3">
    <border/>
    <border>
      <top style="thin">
        <color rgb="FF000000"/>
      </top>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9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2" fontId="1" numFmtId="0" xfId="0" applyFill="1" applyFont="1"/>
    <xf borderId="0" fillId="0" fontId="2" numFmtId="0" xfId="0" applyAlignment="1" applyFont="1">
      <alignment readingOrder="0"/>
    </xf>
    <xf borderId="0" fillId="2" fontId="1" numFmtId="0" xfId="0" applyAlignment="1" applyFont="1">
      <alignment shrinkToFit="0" wrapText="1"/>
    </xf>
    <xf borderId="0" fillId="0" fontId="1" numFmtId="0" xfId="0" applyFont="1"/>
    <xf borderId="0" fillId="3" fontId="1" numFmtId="0" xfId="0" applyAlignment="1" applyFill="1" applyFont="1">
      <alignment readingOrder="0"/>
    </xf>
    <xf borderId="0" fillId="2" fontId="1" numFmtId="0" xfId="0" applyAlignment="1" applyFont="1">
      <alignment readingOrder="0" shrinkToFit="0" wrapText="1"/>
    </xf>
    <xf borderId="0" fillId="2" fontId="1" numFmtId="0" xfId="0" applyAlignment="1" applyFont="1">
      <alignment readingOrder="0"/>
    </xf>
    <xf borderId="0" fillId="0" fontId="1" numFmtId="0" xfId="0" applyAlignment="1" applyFont="1">
      <alignment readingOrder="0"/>
    </xf>
    <xf borderId="0" fillId="0" fontId="1" numFmtId="0" xfId="0" applyAlignment="1" applyFont="1">
      <alignment readingOrder="0" shrinkToFit="0" wrapText="1"/>
    </xf>
    <xf borderId="0" fillId="4" fontId="1" numFmtId="0" xfId="0" applyAlignment="1" applyFill="1" applyFont="1">
      <alignment readingOrder="0" shrinkToFit="0" wrapText="1"/>
    </xf>
    <xf borderId="0" fillId="2" fontId="3" numFmtId="0" xfId="0" applyAlignment="1" applyFont="1">
      <alignment horizontal="right" readingOrder="0"/>
    </xf>
    <xf borderId="0" fillId="2" fontId="1" numFmtId="0" xfId="0" applyAlignment="1" applyFont="1">
      <alignment horizontal="right" readingOrder="0"/>
    </xf>
    <xf borderId="0" fillId="2" fontId="1" numFmtId="0" xfId="0" applyAlignment="1" applyFont="1">
      <alignment horizontal="left" readingOrder="0" shrinkToFit="0" wrapText="1"/>
    </xf>
    <xf borderId="0" fillId="3" fontId="4" numFmtId="0" xfId="0" applyAlignment="1" applyFont="1">
      <alignment readingOrder="0"/>
    </xf>
    <xf borderId="0" fillId="3" fontId="1" numFmtId="0" xfId="0" applyFont="1"/>
    <xf borderId="0" fillId="4" fontId="1" numFmtId="0" xfId="0" applyAlignment="1" applyFont="1">
      <alignment readingOrder="0"/>
    </xf>
    <xf borderId="1" fillId="0" fontId="1" numFmtId="0" xfId="0" applyAlignment="1" applyBorder="1" applyFont="1">
      <alignment readingOrder="0"/>
    </xf>
    <xf borderId="1" fillId="0" fontId="1" numFmtId="0" xfId="0" applyAlignment="1" applyBorder="1" applyFont="1">
      <alignment readingOrder="0" shrinkToFit="0" wrapText="1"/>
    </xf>
    <xf borderId="1" fillId="0" fontId="5" numFmtId="0" xfId="0" applyAlignment="1" applyBorder="1" applyFont="1">
      <alignment readingOrder="0"/>
    </xf>
    <xf borderId="1" fillId="0" fontId="1" numFmtId="0" xfId="0" applyBorder="1" applyFont="1"/>
    <xf borderId="0" fillId="4" fontId="6" numFmtId="0" xfId="0" applyAlignment="1" applyFont="1">
      <alignment horizontal="left" readingOrder="0"/>
    </xf>
    <xf borderId="0" fillId="2" fontId="7" numFmtId="0" xfId="0" applyAlignment="1" applyFont="1">
      <alignment readingOrder="0"/>
    </xf>
    <xf borderId="0" fillId="0" fontId="1" numFmtId="0" xfId="0" applyAlignment="1" applyFont="1">
      <alignment shrinkToFit="0" wrapText="1"/>
    </xf>
    <xf borderId="0" fillId="5" fontId="8" numFmtId="0" xfId="0" applyAlignment="1" applyFill="1" applyFont="1">
      <alignment readingOrder="0" shrinkToFit="0" vertical="bottom" wrapText="0"/>
    </xf>
    <xf borderId="0" fillId="5" fontId="9" numFmtId="0" xfId="0" applyFont="1"/>
    <xf borderId="0" fillId="0" fontId="10" numFmtId="0" xfId="0" applyAlignment="1" applyFont="1">
      <alignment horizontal="right" readingOrder="0" shrinkToFit="0" vertical="bottom" wrapText="0"/>
    </xf>
    <xf borderId="0" fillId="0" fontId="10" numFmtId="0" xfId="0" applyAlignment="1" applyFont="1">
      <alignment readingOrder="0" shrinkToFit="0" vertical="bottom" wrapText="0"/>
    </xf>
    <xf borderId="0" fillId="0" fontId="10" numFmtId="0" xfId="0" applyAlignment="1" applyFont="1">
      <alignment shrinkToFit="0" vertical="bottom" wrapText="0"/>
    </xf>
    <xf borderId="0" fillId="5" fontId="11" numFmtId="0" xfId="0" applyAlignment="1" applyFont="1">
      <alignment horizontal="right" readingOrder="0" shrinkToFit="0" vertical="bottom" wrapText="0"/>
    </xf>
    <xf borderId="0" fillId="5" fontId="11" numFmtId="0" xfId="0" applyAlignment="1" applyFont="1">
      <alignment horizontal="left" readingOrder="0" shrinkToFit="0" vertical="bottom" wrapText="0"/>
    </xf>
    <xf borderId="0" fillId="5" fontId="12" numFmtId="0" xfId="0" applyAlignment="1" applyFont="1">
      <alignment vertical="bottom"/>
    </xf>
    <xf borderId="0" fillId="5" fontId="12" numFmtId="0" xfId="0" applyAlignment="1" applyFont="1">
      <alignment horizontal="left" readingOrder="0"/>
    </xf>
    <xf borderId="0" fillId="3" fontId="13" numFmtId="0" xfId="0" applyAlignment="1" applyFont="1">
      <alignment horizontal="right" readingOrder="0" shrinkToFit="0" vertical="bottom" wrapText="0"/>
    </xf>
    <xf borderId="0" fillId="3" fontId="13" numFmtId="0" xfId="0" applyAlignment="1" applyFont="1">
      <alignment horizontal="left" readingOrder="0" shrinkToFit="0" vertical="bottom" wrapText="0"/>
    </xf>
    <xf borderId="0" fillId="3" fontId="13" numFmtId="0" xfId="0" applyAlignment="1" applyFont="1">
      <alignment horizontal="left" readingOrder="0" shrinkToFit="0" vertical="bottom" wrapText="0"/>
    </xf>
    <xf borderId="0" fillId="0" fontId="14" numFmtId="0" xfId="0" applyAlignment="1" applyFont="1">
      <alignment vertical="bottom"/>
    </xf>
    <xf borderId="0" fillId="0" fontId="15" numFmtId="0" xfId="0" applyAlignment="1" applyFont="1">
      <alignment vertical="bottom"/>
    </xf>
    <xf borderId="0" fillId="0" fontId="15" numFmtId="0" xfId="0" applyAlignment="1" applyFont="1">
      <alignment shrinkToFit="0" vertical="bottom" wrapText="0"/>
    </xf>
    <xf borderId="0" fillId="3" fontId="15" numFmtId="0" xfId="0" applyAlignment="1" applyFont="1">
      <alignment horizontal="left" readingOrder="0"/>
    </xf>
    <xf borderId="0" fillId="0" fontId="13" numFmtId="0" xfId="0" applyAlignment="1" applyFont="1">
      <alignment horizontal="right" readingOrder="0" shrinkToFit="0" vertical="bottom" wrapText="0"/>
    </xf>
    <xf borderId="0" fillId="0" fontId="15" numFmtId="0" xfId="0" applyAlignment="1" applyFont="1">
      <alignment horizontal="left" readingOrder="0"/>
    </xf>
    <xf borderId="0" fillId="0" fontId="13" numFmtId="0" xfId="0" applyAlignment="1" applyFont="1">
      <alignment horizontal="left" readingOrder="0" shrinkToFit="0" vertical="bottom" wrapText="0"/>
    </xf>
    <xf borderId="0" fillId="6" fontId="16" numFmtId="0" xfId="0" applyAlignment="1" applyFill="1" applyFont="1">
      <alignment horizontal="left" readingOrder="0"/>
    </xf>
    <xf borderId="0" fillId="0" fontId="15" numFmtId="0" xfId="0" applyAlignment="1" applyFont="1">
      <alignment horizontal="left"/>
    </xf>
    <xf borderId="0" fillId="0" fontId="13" numFmtId="0" xfId="0" applyAlignment="1" applyFont="1">
      <alignment horizontal="left" readingOrder="0"/>
    </xf>
    <xf borderId="0" fillId="0" fontId="17" numFmtId="0" xfId="0" applyAlignment="1" applyFont="1">
      <alignment horizontal="left" readingOrder="0"/>
    </xf>
    <xf borderId="0" fillId="6" fontId="15" numFmtId="0" xfId="0" applyAlignment="1" applyFont="1">
      <alignment horizontal="left" readingOrder="0" shrinkToFit="0" wrapText="1"/>
    </xf>
    <xf borderId="0" fillId="6" fontId="13" numFmtId="0" xfId="0" applyAlignment="1" applyFont="1">
      <alignment horizontal="left" readingOrder="0"/>
    </xf>
    <xf borderId="0" fillId="3" fontId="18" numFmtId="0" xfId="0" applyAlignment="1" applyFont="1">
      <alignment horizontal="left" readingOrder="0" shrinkToFit="0" vertical="bottom" wrapText="0"/>
    </xf>
    <xf borderId="0" fillId="6" fontId="19" numFmtId="0" xfId="0" applyAlignment="1" applyFont="1">
      <alignment horizontal="left" readingOrder="0"/>
    </xf>
    <xf borderId="0" fillId="3" fontId="13" numFmtId="0" xfId="0" applyAlignment="1" applyFont="1">
      <alignment horizontal="left" readingOrder="0"/>
    </xf>
    <xf borderId="0" fillId="0" fontId="20" numFmtId="0" xfId="0" applyAlignment="1" applyFont="1">
      <alignment horizontal="left" readingOrder="0" shrinkToFit="0" vertical="bottom" wrapText="0"/>
    </xf>
    <xf borderId="0" fillId="0" fontId="21" numFmtId="0" xfId="0" applyAlignment="1" applyFont="1">
      <alignment horizontal="left" readingOrder="0" shrinkToFit="0" vertical="bottom" wrapText="0"/>
    </xf>
    <xf borderId="0" fillId="7" fontId="13" numFmtId="0" xfId="0" applyAlignment="1" applyFill="1" applyFont="1">
      <alignment horizontal="left" readingOrder="0" shrinkToFit="0" vertical="bottom" wrapText="0"/>
    </xf>
    <xf borderId="0" fillId="8" fontId="13" numFmtId="0" xfId="0" applyAlignment="1" applyFill="1" applyFont="1">
      <alignment horizontal="right" readingOrder="0" shrinkToFit="0" vertical="bottom" wrapText="0"/>
    </xf>
    <xf borderId="0" fillId="8" fontId="15" numFmtId="0" xfId="0" applyAlignment="1" applyFont="1">
      <alignment horizontal="left" readingOrder="0"/>
    </xf>
    <xf borderId="0" fillId="8" fontId="13" numFmtId="0" xfId="0" applyAlignment="1" applyFont="1">
      <alignment horizontal="left" readingOrder="0" shrinkToFit="0" vertical="bottom" wrapText="0"/>
    </xf>
    <xf borderId="0" fillId="8" fontId="22" numFmtId="0" xfId="0" applyAlignment="1" applyFont="1">
      <alignment vertical="bottom"/>
    </xf>
    <xf borderId="0" fillId="8" fontId="15" numFmtId="0" xfId="0" applyAlignment="1" applyFont="1">
      <alignment vertical="bottom"/>
    </xf>
    <xf borderId="0" fillId="8" fontId="15" numFmtId="0" xfId="0" applyAlignment="1" applyFont="1">
      <alignment horizontal="left" readingOrder="0"/>
    </xf>
    <xf borderId="0" fillId="8" fontId="23" numFmtId="0" xfId="0" applyAlignment="1" applyFont="1">
      <alignment horizontal="left" readingOrder="0"/>
    </xf>
    <xf borderId="0" fillId="2" fontId="13" numFmtId="0" xfId="0" applyAlignment="1" applyFont="1">
      <alignment horizontal="right" readingOrder="0" shrinkToFit="0" vertical="bottom" wrapText="0"/>
    </xf>
    <xf borderId="0" fillId="2" fontId="13" numFmtId="0" xfId="0" applyAlignment="1" applyFont="1">
      <alignment horizontal="left" readingOrder="0" shrinkToFit="0" vertical="bottom" wrapText="0"/>
    </xf>
    <xf borderId="0" fillId="9" fontId="13" numFmtId="0" xfId="0" applyAlignment="1" applyFill="1" applyFont="1">
      <alignment horizontal="left" readingOrder="0" shrinkToFit="0" vertical="bottom" wrapText="0"/>
    </xf>
    <xf borderId="0" fillId="2" fontId="24" numFmtId="0" xfId="0" applyAlignment="1" applyFont="1">
      <alignment vertical="bottom"/>
    </xf>
    <xf borderId="0" fillId="2" fontId="15" numFmtId="0" xfId="0" applyAlignment="1" applyFont="1">
      <alignment vertical="bottom"/>
    </xf>
    <xf borderId="0" fillId="2" fontId="15" numFmtId="0" xfId="0" applyAlignment="1" applyFont="1">
      <alignment horizontal="left" readingOrder="0"/>
    </xf>
    <xf borderId="0" fillId="2" fontId="13" numFmtId="0" xfId="0" applyAlignment="1" applyFont="1">
      <alignment horizontal="left" readingOrder="0"/>
    </xf>
    <xf borderId="0" fillId="7" fontId="13" numFmtId="0" xfId="0" applyAlignment="1" applyFont="1">
      <alignment horizontal="right" readingOrder="0" shrinkToFit="0" vertical="bottom" wrapText="0"/>
    </xf>
    <xf borderId="0" fillId="7" fontId="13" numFmtId="0" xfId="0" applyAlignment="1" applyFont="1">
      <alignment horizontal="left" readingOrder="0"/>
    </xf>
    <xf borderId="0" fillId="7" fontId="25" numFmtId="0" xfId="0" applyAlignment="1" applyFont="1">
      <alignment vertical="bottom"/>
    </xf>
    <xf borderId="0" fillId="7" fontId="15" numFmtId="0" xfId="0" applyAlignment="1" applyFont="1">
      <alignment vertical="bottom"/>
    </xf>
    <xf borderId="0" fillId="7" fontId="15" numFmtId="0" xfId="0" applyAlignment="1" applyFont="1">
      <alignment readingOrder="0" vertical="bottom"/>
    </xf>
    <xf borderId="0" fillId="7" fontId="15" numFmtId="0" xfId="0" applyAlignment="1" applyFont="1">
      <alignment horizontal="left" readingOrder="0"/>
    </xf>
    <xf borderId="0" fillId="8" fontId="13" numFmtId="0" xfId="0" applyAlignment="1" applyFont="1">
      <alignment horizontal="left" readingOrder="0"/>
    </xf>
    <xf borderId="0" fillId="2" fontId="26" numFmtId="0" xfId="0" applyAlignment="1" applyFont="1">
      <alignment horizontal="left" readingOrder="0" shrinkToFit="0" vertical="bottom" wrapText="0"/>
    </xf>
    <xf borderId="0" fillId="4" fontId="27" numFmtId="0" xfId="0" applyAlignment="1" applyFont="1">
      <alignment readingOrder="0"/>
    </xf>
    <xf borderId="0" fillId="2" fontId="28" numFmtId="0" xfId="0" applyAlignment="1" applyFont="1">
      <alignment horizontal="left" readingOrder="0"/>
    </xf>
    <xf borderId="0" fillId="4" fontId="13" numFmtId="0" xfId="0" applyAlignment="1" applyFont="1">
      <alignment horizontal="left" readingOrder="0" shrinkToFit="0" vertical="bottom" wrapText="0"/>
    </xf>
    <xf borderId="0" fillId="8" fontId="29" numFmtId="0" xfId="0" applyAlignment="1" applyFont="1">
      <alignment horizontal="left" readingOrder="0"/>
    </xf>
    <xf borderId="0" fillId="8" fontId="13" numFmtId="0" xfId="0" applyAlignment="1" applyFont="1">
      <alignment readingOrder="0" shrinkToFit="0" vertical="bottom" wrapText="0"/>
    </xf>
    <xf borderId="0" fillId="8" fontId="15" numFmtId="0" xfId="0" applyAlignment="1" applyFont="1">
      <alignment readingOrder="0"/>
    </xf>
    <xf borderId="0" fillId="2" fontId="29" numFmtId="0" xfId="0" applyAlignment="1" applyFont="1">
      <alignment horizontal="left" readingOrder="0"/>
    </xf>
    <xf borderId="0" fillId="2" fontId="13" numFmtId="0" xfId="0" applyAlignment="1" applyFont="1">
      <alignment readingOrder="0" shrinkToFit="0" vertical="bottom" wrapText="0"/>
    </xf>
    <xf borderId="0" fillId="2" fontId="15" numFmtId="0" xfId="0" applyAlignment="1" applyFont="1">
      <alignment readingOrder="0"/>
    </xf>
    <xf borderId="0" fillId="0" fontId="13" numFmtId="0" xfId="0" applyAlignment="1" applyFont="1">
      <alignment readingOrder="0" shrinkToFit="0" vertical="bottom" wrapText="0"/>
    </xf>
    <xf borderId="0" fillId="0" fontId="15" numFmtId="0" xfId="0" applyFont="1"/>
    <xf borderId="0" fillId="9" fontId="13" numFmtId="0" xfId="0" applyAlignment="1" applyFont="1">
      <alignment readingOrder="0" shrinkToFit="0" vertical="bottom" wrapText="0"/>
    </xf>
    <xf borderId="0" fillId="8" fontId="30" numFmtId="0" xfId="0" applyAlignment="1" applyFont="1">
      <alignment horizontal="left" readingOrder="0"/>
    </xf>
    <xf borderId="0" fillId="2" fontId="13" numFmtId="0" xfId="0" applyAlignment="1" applyFont="1">
      <alignment readingOrder="0"/>
    </xf>
    <xf borderId="0" fillId="7" fontId="13" numFmtId="0" xfId="0" applyAlignment="1" applyFont="1">
      <alignment readingOrder="0" shrinkToFit="0" vertical="bottom" wrapText="0"/>
    </xf>
    <xf borderId="0" fillId="7" fontId="31" numFmtId="0" xfId="0" applyAlignment="1" applyFont="1">
      <alignment horizontal="left" readingOrder="0"/>
    </xf>
    <xf borderId="0" fillId="7" fontId="15" numFmtId="0" xfId="0" applyAlignment="1" applyFont="1">
      <alignment readingOrder="0"/>
    </xf>
    <xf borderId="0" fillId="8" fontId="32" numFmtId="0" xfId="0" applyAlignment="1" applyFont="1">
      <alignment readingOrder="0" shrinkToFit="0" vertical="bottom" wrapText="0"/>
    </xf>
    <xf borderId="0" fillId="0" fontId="15" numFmtId="0" xfId="0" applyAlignment="1" applyFont="1">
      <alignment readingOrder="0"/>
    </xf>
    <xf borderId="0" fillId="2" fontId="29" numFmtId="0" xfId="0" applyAlignment="1" applyFont="1">
      <alignment readingOrder="0"/>
    </xf>
    <xf borderId="0" fillId="2" fontId="33" numFmtId="0" xfId="0" applyAlignment="1" applyFont="1">
      <alignment readingOrder="0" shrinkToFit="0" vertical="bottom" wrapText="0"/>
    </xf>
    <xf borderId="0" fillId="7" fontId="34" numFmtId="0" xfId="0" applyAlignment="1" applyFont="1">
      <alignment readingOrder="0"/>
    </xf>
    <xf borderId="0" fillId="2" fontId="35" numFmtId="0" xfId="0" applyAlignment="1" applyFont="1">
      <alignment readingOrder="0" shrinkToFit="0" vertical="bottom" wrapText="0"/>
    </xf>
    <xf borderId="0" fillId="2" fontId="36" numFmtId="0" xfId="0" applyAlignment="1" applyFont="1">
      <alignment horizontal="left" readingOrder="0"/>
    </xf>
    <xf borderId="0" fillId="0" fontId="15" numFmtId="0" xfId="0" applyAlignment="1" applyFont="1">
      <alignment horizontal="right" readingOrder="0" shrinkToFit="0" wrapText="0"/>
    </xf>
    <xf borderId="0" fillId="0" fontId="15" numFmtId="0" xfId="0" applyAlignment="1" applyFont="1">
      <alignment readingOrder="0" shrinkToFit="0" wrapText="0"/>
    </xf>
    <xf borderId="0" fillId="0" fontId="15" numFmtId="0" xfId="0" applyAlignment="1" applyFont="1">
      <alignment horizontal="left" readingOrder="0" shrinkToFit="0" wrapText="0"/>
    </xf>
    <xf borderId="0" fillId="5" fontId="37" numFmtId="0" xfId="0" applyAlignment="1" applyFont="1">
      <alignment vertical="bottom"/>
    </xf>
    <xf borderId="0" fillId="0" fontId="8" numFmtId="0" xfId="0" applyAlignment="1" applyFont="1">
      <alignment horizontal="left" readingOrder="0" shrinkToFit="0" vertical="bottom" wrapText="0"/>
    </xf>
    <xf borderId="0" fillId="0" fontId="37" numFmtId="0" xfId="0" applyAlignment="1" applyFont="1">
      <alignment horizontal="left"/>
    </xf>
    <xf borderId="0" fillId="0" fontId="38" numFmtId="0" xfId="0" applyAlignment="1" applyFont="1">
      <alignment horizontal="right" vertical="bottom"/>
    </xf>
    <xf borderId="0" fillId="0" fontId="38" numFmtId="0" xfId="0" applyAlignment="1" applyFont="1">
      <alignment vertical="bottom"/>
    </xf>
    <xf borderId="0" fillId="0" fontId="39" numFmtId="0" xfId="0" applyAlignment="1" applyFont="1">
      <alignment vertical="bottom"/>
    </xf>
    <xf borderId="0" fillId="0" fontId="38" numFmtId="0" xfId="0" applyAlignment="1" applyFont="1">
      <alignment vertical="bottom"/>
    </xf>
    <xf borderId="0" fillId="0" fontId="39" numFmtId="0" xfId="0" applyAlignment="1" applyFont="1">
      <alignment vertical="bottom"/>
    </xf>
    <xf borderId="0" fillId="0" fontId="10" numFmtId="0" xfId="0" applyAlignment="1" applyFont="1">
      <alignment horizontal="left" readingOrder="0" shrinkToFit="0" vertical="bottom" wrapText="0"/>
    </xf>
    <xf borderId="0" fillId="0" fontId="38" numFmtId="0" xfId="0" applyAlignment="1" applyFont="1">
      <alignment horizontal="left" readingOrder="0"/>
    </xf>
    <xf borderId="0" fillId="0" fontId="40" numFmtId="0" xfId="0" applyAlignment="1" applyFont="1">
      <alignment horizontal="left" readingOrder="0"/>
    </xf>
    <xf borderId="0" fillId="0" fontId="38" numFmtId="0" xfId="0" applyAlignment="1" applyFont="1">
      <alignment horizontal="left"/>
    </xf>
    <xf borderId="0" fillId="0" fontId="10" numFmtId="0" xfId="0" applyAlignment="1" applyFont="1">
      <alignment horizontal="left" readingOrder="0"/>
    </xf>
    <xf borderId="0" fillId="0" fontId="10" numFmtId="0" xfId="0" applyAlignment="1" applyFont="1">
      <alignment horizontal="left" readingOrder="0"/>
    </xf>
    <xf borderId="0" fillId="0" fontId="10" numFmtId="0" xfId="0" applyAlignment="1" applyFont="1">
      <alignment horizontal="left" readingOrder="0" shrinkToFit="0" vertical="bottom" wrapText="0"/>
    </xf>
    <xf borderId="0" fillId="0" fontId="41" numFmtId="0" xfId="0" applyAlignment="1" applyFont="1">
      <alignment horizontal="left" readingOrder="0" shrinkToFit="0" vertical="bottom" wrapText="0"/>
    </xf>
    <xf borderId="0" fillId="0" fontId="10" numFmtId="0" xfId="0" applyAlignment="1" applyFont="1">
      <alignment horizontal="right" readingOrder="0" shrinkToFit="0" vertical="bottom" wrapText="0"/>
    </xf>
    <xf borderId="0" fillId="0" fontId="10" numFmtId="0" xfId="0" applyAlignment="1" applyFont="1">
      <alignment horizontal="left" shrinkToFit="0" vertical="bottom" wrapText="0"/>
    </xf>
    <xf borderId="0" fillId="0" fontId="42" numFmtId="0" xfId="0" applyAlignment="1" applyFont="1">
      <alignment horizontal="left" readingOrder="0"/>
    </xf>
    <xf borderId="0" fillId="0" fontId="10" numFmtId="0" xfId="0" applyAlignment="1" applyFont="1">
      <alignment readingOrder="0" shrinkToFit="0" vertical="bottom" wrapText="0"/>
    </xf>
    <xf borderId="0" fillId="0" fontId="10" numFmtId="0" xfId="0" applyAlignment="1" applyFont="1">
      <alignment shrinkToFit="0" vertical="bottom" wrapText="0"/>
    </xf>
    <xf borderId="0" fillId="0" fontId="38" numFmtId="0" xfId="0" applyAlignment="1" applyFont="1">
      <alignment readingOrder="0"/>
    </xf>
    <xf borderId="0" fillId="0" fontId="38" numFmtId="0" xfId="0" applyFont="1"/>
    <xf borderId="0" fillId="0" fontId="43" numFmtId="0" xfId="0" applyAlignment="1" applyFont="1">
      <alignment horizontal="left" readingOrder="0"/>
    </xf>
    <xf borderId="0" fillId="0" fontId="44" numFmtId="0" xfId="0" applyAlignment="1" applyFont="1">
      <alignment readingOrder="0"/>
    </xf>
    <xf borderId="0" fillId="0" fontId="42" numFmtId="0" xfId="0" applyAlignment="1" applyFont="1">
      <alignment readingOrder="0"/>
    </xf>
    <xf borderId="0" fillId="0" fontId="45" numFmtId="0" xfId="0" applyAlignment="1" applyFont="1">
      <alignment readingOrder="0" shrinkToFit="0" vertical="bottom" wrapText="0"/>
    </xf>
    <xf borderId="0" fillId="0" fontId="38" numFmtId="0" xfId="0" applyAlignment="1" applyFont="1">
      <alignment horizontal="right" readingOrder="0" shrinkToFit="0" wrapText="0"/>
    </xf>
    <xf borderId="0" fillId="0" fontId="38" numFmtId="0" xfId="0" applyAlignment="1" applyFont="1">
      <alignment readingOrder="0" shrinkToFit="0" wrapText="0"/>
    </xf>
    <xf borderId="0" fillId="0" fontId="38" numFmtId="0" xfId="0" applyAlignment="1" applyFont="1">
      <alignment shrinkToFit="0" wrapText="0"/>
    </xf>
    <xf borderId="0" fillId="0" fontId="38" numFmtId="0" xfId="0" applyAlignment="1" applyFont="1">
      <alignment horizontal="left" readingOrder="0" shrinkToFit="0" wrapText="0"/>
    </xf>
    <xf borderId="0" fillId="0" fontId="1" numFmtId="0" xfId="0" applyAlignment="1" applyFont="1">
      <alignment horizontal="right" shrinkToFit="0" wrapText="0"/>
    </xf>
    <xf borderId="0" fillId="0" fontId="1" numFmtId="0" xfId="0" applyAlignment="1" applyFont="1">
      <alignment shrinkToFit="0" wrapText="0"/>
    </xf>
    <xf borderId="0" fillId="0" fontId="38" numFmtId="0" xfId="0" applyAlignment="1" applyFont="1">
      <alignment horizontal="left" shrinkToFit="0" wrapText="0"/>
    </xf>
    <xf borderId="0" fillId="10" fontId="1" numFmtId="0" xfId="0" applyAlignment="1" applyFill="1" applyFont="1">
      <alignment readingOrder="0"/>
    </xf>
    <xf borderId="0" fillId="10" fontId="1" numFmtId="0" xfId="0" applyFont="1"/>
    <xf borderId="0" fillId="9" fontId="1" numFmtId="0" xfId="0" applyAlignment="1" applyFont="1">
      <alignment readingOrder="0"/>
    </xf>
    <xf borderId="0" fillId="9" fontId="1" numFmtId="0" xfId="0" applyFont="1"/>
    <xf borderId="0" fillId="9" fontId="46" numFmtId="0" xfId="0" applyAlignment="1" applyFont="1">
      <alignment readingOrder="0"/>
    </xf>
    <xf borderId="0" fillId="11" fontId="1" numFmtId="0" xfId="0" applyAlignment="1" applyFill="1" applyFont="1">
      <alignment readingOrder="0"/>
    </xf>
    <xf borderId="0" fillId="12" fontId="1" numFmtId="0" xfId="0" applyAlignment="1" applyFill="1" applyFont="1">
      <alignment readingOrder="0"/>
    </xf>
    <xf borderId="0" fillId="12" fontId="1" numFmtId="0" xfId="0" applyFont="1"/>
    <xf borderId="0" fillId="12" fontId="47" numFmtId="0" xfId="0" applyAlignment="1" applyFont="1">
      <alignment readingOrder="0"/>
    </xf>
    <xf borderId="0" fillId="13" fontId="1" numFmtId="0" xfId="0" applyFill="1" applyFont="1"/>
    <xf borderId="0" fillId="0" fontId="48" numFmtId="0" xfId="0" applyAlignment="1" applyFont="1">
      <alignment readingOrder="0"/>
    </xf>
    <xf borderId="0" fillId="11" fontId="1" numFmtId="0" xfId="0" applyFont="1"/>
    <xf borderId="0" fillId="12" fontId="49" numFmtId="0" xfId="0" applyAlignment="1" applyFont="1">
      <alignment readingOrder="0"/>
    </xf>
    <xf borderId="0" fillId="14" fontId="1" numFmtId="0" xfId="0" applyFill="1" applyFont="1"/>
    <xf borderId="0" fillId="0" fontId="38" numFmtId="0" xfId="0" applyAlignment="1" applyFont="1">
      <alignment horizontal="right" shrinkToFit="0" vertical="bottom" wrapText="0"/>
    </xf>
    <xf borderId="0" fillId="0" fontId="38" numFmtId="0" xfId="0" applyAlignment="1" applyFont="1">
      <alignment shrinkToFit="0" vertical="bottom" wrapText="0"/>
    </xf>
    <xf borderId="0" fillId="0" fontId="1" numFmtId="0" xfId="0" applyAlignment="1" applyFont="1">
      <alignment readingOrder="0"/>
    </xf>
    <xf borderId="0" fillId="5" fontId="9" numFmtId="0" xfId="0" applyAlignment="1" applyFont="1">
      <alignment readingOrder="0"/>
    </xf>
    <xf borderId="0" fillId="0" fontId="50" numFmtId="0" xfId="0" applyAlignment="1" applyFont="1">
      <alignment readingOrder="0"/>
    </xf>
    <xf borderId="0" fillId="0" fontId="10" numFmtId="0" xfId="0" applyAlignment="1" applyFont="1">
      <alignment readingOrder="0"/>
    </xf>
    <xf borderId="0" fillId="0" fontId="9" numFmtId="0" xfId="0" applyAlignment="1" applyFont="1">
      <alignment readingOrder="0"/>
    </xf>
    <xf borderId="0" fillId="0" fontId="9" numFmtId="0" xfId="0" applyAlignment="1" applyFont="1">
      <alignment readingOrder="0" shrinkToFit="0" wrapText="1"/>
    </xf>
    <xf borderId="0" fillId="0" fontId="9" numFmtId="0" xfId="0" applyFont="1"/>
    <xf borderId="0" fillId="0" fontId="51" numFmtId="0" xfId="0" applyAlignment="1" applyFont="1">
      <alignment readingOrder="0"/>
    </xf>
    <xf borderId="0" fillId="7" fontId="1" numFmtId="0" xfId="0" applyAlignment="1" applyFont="1">
      <alignment readingOrder="0"/>
    </xf>
    <xf borderId="0" fillId="0" fontId="1" numFmtId="0" xfId="0" applyAlignment="1" applyFont="1">
      <alignment horizontal="right" readingOrder="0"/>
    </xf>
    <xf borderId="0" fillId="0" fontId="52" numFmtId="0" xfId="0" applyAlignment="1" applyFont="1">
      <alignment readingOrder="0"/>
    </xf>
    <xf borderId="0" fillId="0" fontId="27" numFmtId="0" xfId="0" applyAlignment="1" applyFont="1">
      <alignment vertical="bottom"/>
    </xf>
    <xf borderId="0" fillId="6" fontId="27" numFmtId="0" xfId="0" applyAlignment="1" applyFont="1">
      <alignment vertical="bottom"/>
    </xf>
    <xf borderId="0" fillId="0" fontId="27" numFmtId="0" xfId="0" applyAlignment="1" applyFont="1">
      <alignment readingOrder="0" vertical="bottom"/>
    </xf>
    <xf borderId="0" fillId="0" fontId="27" numFmtId="0" xfId="0" applyAlignment="1" applyFont="1">
      <alignment horizontal="right" vertical="bottom"/>
    </xf>
    <xf borderId="0" fillId="0" fontId="53" numFmtId="0" xfId="0" applyAlignment="1" applyFont="1">
      <alignment vertical="bottom"/>
    </xf>
    <xf borderId="0" fillId="7" fontId="27" numFmtId="0" xfId="0" applyAlignment="1" applyFont="1">
      <alignment vertical="bottom"/>
    </xf>
    <xf borderId="0" fillId="8" fontId="27" numFmtId="0" xfId="0" applyAlignment="1" applyFont="1">
      <alignment horizontal="right" vertical="bottom"/>
    </xf>
    <xf borderId="0" fillId="8" fontId="39" numFmtId="0" xfId="0" applyAlignment="1" applyFont="1">
      <alignment vertical="bottom"/>
    </xf>
    <xf borderId="0" fillId="8" fontId="27" numFmtId="0" xfId="0" applyAlignment="1" applyFont="1">
      <alignment horizontal="center" vertical="bottom"/>
    </xf>
    <xf borderId="0" fillId="8" fontId="27" numFmtId="0" xfId="0" applyAlignment="1" applyFont="1">
      <alignment vertical="bottom"/>
    </xf>
    <xf borderId="0" fillId="8" fontId="54" numFmtId="0" xfId="0" applyAlignment="1" applyFont="1">
      <alignment vertical="bottom"/>
    </xf>
    <xf borderId="0" fillId="6" fontId="27" numFmtId="0" xfId="0" applyAlignment="1" applyFont="1">
      <alignment horizontal="right" vertical="bottom"/>
    </xf>
    <xf borderId="0" fillId="6" fontId="55" numFmtId="0" xfId="0" applyAlignment="1" applyFont="1">
      <alignment vertical="bottom"/>
    </xf>
    <xf borderId="0" fillId="2" fontId="27" numFmtId="0" xfId="0" applyAlignment="1" applyFont="1">
      <alignment vertical="bottom"/>
    </xf>
    <xf borderId="0" fillId="6" fontId="56" numFmtId="0" xfId="0" applyAlignment="1" applyFont="1">
      <alignment vertical="bottom"/>
    </xf>
    <xf borderId="0" fillId="6" fontId="39" numFmtId="0" xfId="0" applyAlignment="1" applyFont="1">
      <alignment vertical="bottom"/>
    </xf>
    <xf borderId="0" fillId="15" fontId="27" numFmtId="0" xfId="0" applyAlignment="1" applyFill="1" applyFont="1">
      <alignment readingOrder="0" vertical="bottom"/>
    </xf>
    <xf borderId="0" fillId="15" fontId="27" numFmtId="0" xfId="0" applyAlignment="1" applyFont="1">
      <alignment readingOrder="0"/>
    </xf>
    <xf borderId="0" fillId="7" fontId="27" numFmtId="0" xfId="0" applyAlignment="1" applyFont="1">
      <alignment readingOrder="0" vertical="bottom"/>
    </xf>
    <xf borderId="0" fillId="0" fontId="27" numFmtId="0" xfId="0" applyAlignment="1" applyFont="1">
      <alignment shrinkToFit="0" vertical="bottom" wrapText="0"/>
    </xf>
    <xf borderId="0" fillId="8" fontId="39" numFmtId="0" xfId="0" applyAlignment="1" applyFont="1">
      <alignment readingOrder="0" vertical="bottom"/>
    </xf>
    <xf borderId="0" fillId="2" fontId="27" numFmtId="0" xfId="0" applyAlignment="1" applyFont="1">
      <alignment readingOrder="0" vertical="bottom"/>
    </xf>
    <xf borderId="0" fillId="6" fontId="57" numFmtId="0" xfId="0" applyAlignment="1" applyFont="1">
      <alignment vertical="bottom"/>
    </xf>
    <xf borderId="0" fillId="6" fontId="27" numFmtId="0" xfId="0" applyAlignment="1" applyFont="1">
      <alignment horizontal="right" readingOrder="0" vertical="bottom"/>
    </xf>
    <xf borderId="0" fillId="4" fontId="27" numFmtId="0" xfId="0" applyAlignment="1" applyFont="1">
      <alignment readingOrder="0" vertical="bottom"/>
    </xf>
    <xf borderId="0" fillId="5" fontId="37" numFmtId="0" xfId="0" applyAlignment="1" applyFont="1">
      <alignment readingOrder="0" shrinkToFit="0" vertical="bottom" wrapText="0"/>
    </xf>
    <xf borderId="0" fillId="5" fontId="37" numFmtId="0" xfId="0" applyAlignment="1" applyFont="1">
      <alignment readingOrder="0" shrinkToFit="0" wrapText="0"/>
    </xf>
    <xf borderId="0" fillId="0" fontId="58" numFmtId="0" xfId="0" applyAlignment="1" applyFont="1">
      <alignment vertical="bottom"/>
    </xf>
    <xf borderId="0" fillId="0" fontId="10" numFmtId="0" xfId="0" applyAlignment="1" applyFont="1">
      <alignment horizontal="left" readingOrder="0" shrinkToFit="0" wrapText="0"/>
    </xf>
    <xf borderId="0" fillId="0" fontId="59" numFmtId="0" xfId="0" applyAlignment="1" applyFont="1">
      <alignment horizontal="left" readingOrder="0" shrinkToFit="0" wrapText="0"/>
    </xf>
    <xf borderId="0" fillId="0" fontId="60" numFmtId="0" xfId="0" applyAlignment="1" applyFont="1">
      <alignment horizontal="left" readingOrder="0"/>
    </xf>
    <xf borderId="0" fillId="0" fontId="1" numFmtId="0" xfId="0" applyAlignment="1" applyFont="1">
      <alignment readingOrder="0" shrinkToFit="0" wrapText="0"/>
    </xf>
    <xf borderId="0" fillId="0" fontId="61" numFmtId="0" xfId="0" applyAlignment="1" applyFont="1">
      <alignment readingOrder="0" shrinkToFit="0" wrapText="0"/>
    </xf>
    <xf borderId="0" fillId="0" fontId="1" numFmtId="0" xfId="0" applyAlignment="1" applyFont="1">
      <alignment shrinkToFit="0" wrapText="0"/>
    </xf>
    <xf borderId="0" fillId="0" fontId="62" numFmtId="0" xfId="0" applyAlignment="1" applyFont="1">
      <alignment readingOrder="0"/>
    </xf>
    <xf borderId="0" fillId="5" fontId="9" numFmtId="0" xfId="0" applyAlignment="1" applyFont="1">
      <alignment readingOrder="0" shrinkToFit="0" wrapText="0"/>
    </xf>
    <xf borderId="0" fillId="5" fontId="9" numFmtId="0" xfId="0" applyAlignment="1" applyFont="1">
      <alignment readingOrder="0" shrinkToFit="0" wrapText="1"/>
    </xf>
    <xf borderId="0" fillId="0" fontId="1" numFmtId="0" xfId="0" applyAlignment="1" applyFont="1">
      <alignment readingOrder="0" shrinkToFit="0" wrapText="0"/>
    </xf>
    <xf borderId="0" fillId="0" fontId="63" numFmtId="0" xfId="0" applyAlignment="1" applyFont="1">
      <alignment readingOrder="0" shrinkToFit="0" wrapText="0"/>
    </xf>
    <xf borderId="0" fillId="6" fontId="6" numFmtId="0" xfId="0" applyAlignment="1" applyFont="1">
      <alignment horizontal="left" readingOrder="0" shrinkToFit="0" wrapText="1"/>
    </xf>
    <xf borderId="0" fillId="2" fontId="1" numFmtId="0" xfId="0" applyAlignment="1" applyFont="1">
      <alignment shrinkToFit="0" wrapText="0"/>
    </xf>
    <xf borderId="0" fillId="2" fontId="1" numFmtId="0" xfId="0" applyAlignment="1" applyFont="1">
      <alignment readingOrder="0" shrinkToFit="0" wrapText="0"/>
    </xf>
    <xf borderId="0" fillId="2" fontId="64" numFmtId="0" xfId="0" applyAlignment="1" applyFont="1">
      <alignment readingOrder="0" shrinkToFit="0" wrapText="0"/>
    </xf>
    <xf borderId="0" fillId="0" fontId="65" numFmtId="0" xfId="0" applyAlignment="1" applyFont="1">
      <alignment readingOrder="0"/>
    </xf>
    <xf borderId="0" fillId="0" fontId="66" numFmtId="0" xfId="0" applyAlignment="1" applyFont="1">
      <alignment horizontal="left" readingOrder="0"/>
    </xf>
    <xf borderId="0" fillId="0" fontId="67" numFmtId="0" xfId="0" applyAlignment="1" applyFont="1">
      <alignment readingOrder="0" shrinkToFit="0" wrapText="0"/>
    </xf>
    <xf borderId="0" fillId="6" fontId="68" numFmtId="0" xfId="0" applyAlignment="1" applyFont="1">
      <alignment readingOrder="0"/>
    </xf>
    <xf borderId="0" fillId="0" fontId="69" numFmtId="0" xfId="0" applyAlignment="1" applyFont="1">
      <alignment readingOrder="0"/>
    </xf>
    <xf borderId="0" fillId="0" fontId="0" numFmtId="0" xfId="0" applyAlignment="1" applyFont="1">
      <alignment readingOrder="0"/>
    </xf>
    <xf borderId="0" fillId="0" fontId="70" numFmtId="0" xfId="0" applyAlignment="1" applyFont="1">
      <alignment readingOrder="0"/>
    </xf>
    <xf borderId="0" fillId="2" fontId="71" numFmtId="0" xfId="0" applyAlignment="1" applyFont="1">
      <alignment readingOrder="0"/>
    </xf>
    <xf borderId="0" fillId="6" fontId="72" numFmtId="0" xfId="0" applyAlignment="1" applyFont="1">
      <alignment readingOrder="0"/>
    </xf>
    <xf borderId="0" fillId="6" fontId="73" numFmtId="0" xfId="0" applyAlignment="1" applyFont="1">
      <alignment horizontal="center" readingOrder="0"/>
    </xf>
    <xf borderId="0" fillId="3" fontId="1" numFmtId="0" xfId="0" applyAlignment="1" applyFont="1">
      <alignment readingOrder="0" shrinkToFit="0" wrapText="0"/>
    </xf>
    <xf borderId="0" fillId="3" fontId="1" numFmtId="0" xfId="0" applyAlignment="1" applyFont="1">
      <alignment readingOrder="0" shrinkToFit="0" wrapText="1"/>
    </xf>
    <xf borderId="0" fillId="3" fontId="74" numFmtId="0" xfId="0" applyAlignment="1" applyFont="1">
      <alignment readingOrder="0" shrinkToFit="0" wrapText="0"/>
    </xf>
    <xf borderId="0" fillId="3" fontId="1" numFmtId="0" xfId="0" applyAlignment="1" applyFont="1">
      <alignment shrinkToFit="0" wrapText="0"/>
    </xf>
    <xf borderId="0" fillId="2" fontId="75" numFmtId="0" xfId="0" applyAlignment="1" applyFont="1">
      <alignment readingOrder="0" shrinkToFit="0" wrapText="0"/>
    </xf>
    <xf borderId="0" fillId="0" fontId="69" numFmtId="0" xfId="0" applyAlignment="1" applyFont="1">
      <alignment horizontal="left" readingOrder="0" shrinkToFit="0" wrapText="1"/>
    </xf>
    <xf borderId="0" fillId="0" fontId="69" numFmtId="0" xfId="0" applyAlignment="1" applyFont="1">
      <alignment horizontal="center" readingOrder="0" shrinkToFit="0" wrapText="1"/>
    </xf>
    <xf borderId="0" fillId="6" fontId="1" numFmtId="0" xfId="0" applyAlignment="1" applyFont="1">
      <alignment readingOrder="0" shrinkToFit="0" wrapText="0"/>
    </xf>
    <xf borderId="0" fillId="6" fontId="1" numFmtId="0" xfId="0" applyAlignment="1" applyFont="1">
      <alignment readingOrder="0" shrinkToFit="0" wrapText="1"/>
    </xf>
    <xf borderId="0" fillId="0" fontId="76" numFmtId="0" xfId="0" applyAlignment="1" applyFont="1">
      <alignment readingOrder="0"/>
    </xf>
    <xf borderId="0" fillId="0" fontId="77" numFmtId="0" xfId="0" applyAlignment="1" applyFont="1">
      <alignment horizontal="left" readingOrder="0" shrinkToFit="0" wrapText="0"/>
    </xf>
    <xf borderId="0" fillId="6" fontId="1" numFmtId="0" xfId="0" applyAlignment="1" applyFont="1">
      <alignment shrinkToFit="0" wrapText="0"/>
    </xf>
    <xf borderId="0" fillId="6" fontId="1" numFmtId="0" xfId="0" applyFont="1"/>
    <xf borderId="0" fillId="2" fontId="78" numFmtId="0" xfId="0" applyAlignment="1" applyFont="1">
      <alignment readingOrder="0" shrinkToFit="0" wrapText="0"/>
    </xf>
    <xf borderId="0" fillId="2" fontId="6" numFmtId="0" xfId="0" applyAlignment="1" applyFont="1">
      <alignment horizontal="left" readingOrder="0" shrinkToFit="0" wrapText="0"/>
    </xf>
    <xf borderId="0" fillId="2" fontId="70" numFmtId="0" xfId="0" applyAlignment="1" applyFont="1">
      <alignment horizontal="left" readingOrder="0"/>
    </xf>
    <xf borderId="0" fillId="2" fontId="79" numFmtId="0" xfId="0" applyAlignment="1" applyFont="1">
      <alignment horizontal="left" readingOrder="0"/>
    </xf>
    <xf borderId="0" fillId="2" fontId="6" numFmtId="0" xfId="0" applyAlignment="1" applyFont="1">
      <alignment horizontal="left" readingOrder="0"/>
    </xf>
    <xf borderId="0" fillId="2" fontId="80" numFmtId="0" xfId="0" applyAlignment="1" applyFont="1">
      <alignment horizontal="left" readingOrder="0"/>
    </xf>
    <xf borderId="0" fillId="2" fontId="81" numFmtId="0" xfId="0" applyAlignment="1" applyFont="1">
      <alignment readingOrder="0" shrinkToFit="0" wrapText="1"/>
    </xf>
    <xf borderId="0" fillId="2" fontId="0" numFmtId="0" xfId="0" applyAlignment="1" applyFont="1">
      <alignment readingOrder="0" shrinkToFit="0" wrapText="1"/>
    </xf>
    <xf borderId="0" fillId="2" fontId="82" numFmtId="0" xfId="0" applyAlignment="1" applyFont="1">
      <alignment readingOrder="0"/>
    </xf>
    <xf borderId="0" fillId="2" fontId="69" numFmtId="0" xfId="0" applyAlignment="1" applyFont="1">
      <alignment readingOrder="0" shrinkToFit="0" wrapText="1"/>
    </xf>
    <xf borderId="0" fillId="2" fontId="69" numFmtId="0" xfId="0" applyAlignment="1" applyFont="1">
      <alignment readingOrder="0" shrinkToFit="0" wrapText="1"/>
    </xf>
    <xf borderId="0" fillId="2" fontId="0" numFmtId="0" xfId="0" applyAlignment="1" applyFont="1">
      <alignment horizontal="center" readingOrder="0" shrinkToFit="0" wrapText="1"/>
    </xf>
    <xf borderId="0" fillId="0" fontId="0" numFmtId="0" xfId="0" applyAlignment="1" applyFont="1">
      <alignment horizontal="center"/>
    </xf>
    <xf borderId="0" fillId="0" fontId="0" numFmtId="0" xfId="0" applyAlignment="1" applyFont="1">
      <alignment horizontal="center" readingOrder="0"/>
    </xf>
    <xf borderId="0" fillId="0" fontId="70" numFmtId="0" xfId="0" applyAlignment="1" applyFont="1">
      <alignment vertical="bottom"/>
    </xf>
    <xf borderId="0" fillId="0" fontId="39" numFmtId="0" xfId="0" applyAlignment="1" applyFont="1">
      <alignment readingOrder="0" vertical="bottom"/>
    </xf>
    <xf borderId="0" fillId="0" fontId="39" numFmtId="0" xfId="0" applyAlignment="1" applyFont="1">
      <alignment horizontal="right" vertical="bottom"/>
    </xf>
    <xf borderId="0" fillId="0" fontId="83" numFmtId="0" xfId="0" applyAlignment="1" applyFont="1">
      <alignment vertical="bottom"/>
    </xf>
    <xf borderId="0" fillId="6" fontId="84" numFmtId="0" xfId="0" applyAlignment="1" applyFont="1">
      <alignment horizontal="center" vertical="bottom"/>
    </xf>
    <xf borderId="2" fillId="0" fontId="39" numFmtId="0" xfId="0" applyAlignment="1" applyBorder="1" applyFont="1">
      <alignment shrinkToFit="0" vertical="bottom" wrapText="0"/>
    </xf>
    <xf borderId="0" fillId="2" fontId="39" numFmtId="0" xfId="0" applyAlignment="1" applyFont="1">
      <alignment horizontal="right" vertical="bottom"/>
    </xf>
    <xf borderId="0" fillId="2" fontId="70" numFmtId="0" xfId="0" applyAlignment="1" applyFont="1">
      <alignment vertical="bottom"/>
    </xf>
    <xf borderId="0" fillId="2" fontId="39" numFmtId="0" xfId="0" applyAlignment="1" applyFont="1">
      <alignment vertical="bottom"/>
    </xf>
    <xf borderId="0" fillId="2" fontId="39" numFmtId="0" xfId="0" applyAlignment="1" applyFont="1">
      <alignment readingOrder="0" vertical="bottom"/>
    </xf>
    <xf borderId="0" fillId="2" fontId="85" numFmtId="0" xfId="0" applyAlignment="1" applyFont="1">
      <alignment vertical="bottom"/>
    </xf>
    <xf borderId="0" fillId="16" fontId="86" numFmtId="0" xfId="0" applyAlignment="1" applyFill="1" applyFont="1">
      <alignment vertical="bottom"/>
    </xf>
    <xf borderId="0" fillId="0" fontId="70" numFmtId="0" xfId="0" applyAlignment="1" applyFont="1">
      <alignment readingOrder="0" vertical="bottom"/>
    </xf>
    <xf borderId="2" fillId="2" fontId="39" numFmtId="0" xfId="0" applyAlignment="1" applyBorder="1" applyFont="1">
      <alignment shrinkToFit="0" vertical="bottom" wrapText="0"/>
    </xf>
    <xf borderId="0" fillId="6" fontId="70" numFmtId="0" xfId="0" applyAlignment="1" applyFont="1">
      <alignment vertical="bottom"/>
    </xf>
    <xf borderId="0" fillId="0" fontId="87" numFmtId="0" xfId="0" applyAlignment="1" applyFont="1">
      <alignment readingOrder="0"/>
    </xf>
    <xf borderId="0" fillId="9" fontId="39" numFmtId="0" xfId="0" applyAlignment="1" applyFont="1">
      <alignment horizontal="right" vertical="bottom"/>
    </xf>
    <xf borderId="0" fillId="9" fontId="70" numFmtId="0" xfId="0" applyAlignment="1" applyFont="1">
      <alignment readingOrder="0"/>
    </xf>
    <xf borderId="0" fillId="9" fontId="88" numFmtId="0" xfId="0" applyAlignment="1" applyFont="1">
      <alignment readingOrder="0"/>
    </xf>
    <xf borderId="0" fillId="9" fontId="39" numFmtId="0" xfId="0" applyAlignment="1" applyFont="1">
      <alignment vertical="bottom"/>
    </xf>
    <xf borderId="0" fillId="9" fontId="39" numFmtId="0" xfId="0" applyAlignment="1" applyFont="1">
      <alignment readingOrder="0" vertical="bottom"/>
    </xf>
    <xf borderId="0" fillId="9" fontId="89" numFmtId="0" xfId="0" applyAlignment="1" applyFont="1">
      <alignment vertical="bottom"/>
    </xf>
    <xf borderId="2" fillId="9" fontId="39" numFmtId="0" xfId="0" applyAlignment="1" applyBorder="1" applyFont="1">
      <alignment shrinkToFit="0" vertical="bottom" wrapText="0"/>
    </xf>
    <xf borderId="0" fillId="2" fontId="3" numFmtId="0" xfId="0" applyAlignment="1" applyFont="1">
      <alignment readingOrder="0"/>
    </xf>
    <xf borderId="0" fillId="0" fontId="3" numFmtId="0" xfId="0" applyAlignment="1" applyFont="1">
      <alignment readingOrder="0"/>
    </xf>
    <xf borderId="0" fillId="9" fontId="70" numFmtId="0" xfId="0" applyAlignment="1" applyFont="1">
      <alignment vertical="bottom"/>
    </xf>
    <xf borderId="0" fillId="2" fontId="70" numFmtId="0" xfId="0" applyAlignment="1" applyFont="1">
      <alignment readingOrder="0" vertical="bottom"/>
    </xf>
    <xf borderId="0" fillId="6" fontId="90" numFmtId="0" xfId="0" applyAlignment="1" applyFont="1">
      <alignment readingOrder="0"/>
    </xf>
    <xf borderId="0" fillId="6" fontId="70" numFmtId="0" xfId="0" applyAlignment="1" applyFont="1">
      <alignment readingOrder="0"/>
    </xf>
    <xf borderId="0" fillId="2" fontId="86" numFmtId="0" xfId="0" applyAlignment="1" applyFont="1">
      <alignment horizontal="left" readingOrder="0"/>
    </xf>
    <xf borderId="0" fillId="6" fontId="70" numFmtId="0" xfId="0" applyAlignment="1" applyFont="1">
      <alignment readingOrder="0"/>
    </xf>
    <xf borderId="0" fillId="2" fontId="91" numFmtId="0" xfId="0" applyAlignment="1" applyFont="1">
      <alignment readingOrder="0"/>
    </xf>
    <xf borderId="0" fillId="17" fontId="92" numFmtId="0" xfId="0" applyAlignment="1" applyFill="1" applyFont="1">
      <alignment horizontal="left" readingOrder="0" shrinkToFit="0" wrapText="1"/>
    </xf>
    <xf borderId="0" fillId="0" fontId="92" numFmtId="0" xfId="0" applyAlignment="1" applyFont="1">
      <alignment horizontal="left" readingOrder="0" shrinkToFit="0" wrapText="1"/>
    </xf>
    <xf borderId="0" fillId="9" fontId="70" numFmtId="0" xfId="0" applyAlignment="1" applyFont="1">
      <alignment readingOrder="0" vertical="bottom"/>
    </xf>
    <xf borderId="0" fillId="9" fontId="3" numFmtId="0" xfId="0" applyAlignment="1" applyFont="1">
      <alignment readingOrder="0"/>
    </xf>
    <xf borderId="0" fillId="0" fontId="3" numFmtId="0" xfId="0" applyFont="1"/>
    <xf borderId="0" fillId="6" fontId="10" numFmtId="0" xfId="0" applyAlignment="1" applyFont="1">
      <alignment horizontal="left" readingOrder="0"/>
    </xf>
    <xf borderId="0" fillId="9" fontId="10" numFmtId="0" xfId="0" applyAlignment="1" applyFont="1">
      <alignment horizontal="right" readingOrder="0" shrinkToFit="0" vertical="bottom" wrapText="0"/>
    </xf>
    <xf borderId="0" fillId="9" fontId="42" numFmtId="0" xfId="0" applyAlignment="1" applyFont="1">
      <alignment horizontal="center" readingOrder="0"/>
    </xf>
    <xf borderId="0" fillId="9" fontId="10" numFmtId="0" xfId="0" applyAlignment="1" applyFont="1">
      <alignment readingOrder="0" shrinkToFit="0" vertical="bottom" wrapText="0"/>
    </xf>
    <xf borderId="0" fillId="9" fontId="10" numFmtId="0" xfId="0" applyAlignment="1" applyFont="1">
      <alignment shrinkToFit="0" vertical="bottom" wrapText="0"/>
    </xf>
    <xf borderId="0" fillId="9" fontId="93" numFmtId="0" xfId="0" applyAlignment="1" applyFont="1">
      <alignment horizontal="left" readingOrder="0"/>
    </xf>
    <xf borderId="0" fillId="6" fontId="60" numFmtId="0" xfId="0" applyAlignment="1" applyFont="1">
      <alignment horizontal="left" readingOrder="0"/>
    </xf>
    <xf borderId="0" fillId="18" fontId="10" numFmtId="0" xfId="0" applyAlignment="1" applyFill="1" applyFont="1">
      <alignment horizontal="right" readingOrder="0" shrinkToFit="0" vertical="bottom" wrapText="0"/>
    </xf>
    <xf borderId="0" fillId="18" fontId="10" numFmtId="0" xfId="0" applyAlignment="1" applyFont="1">
      <alignment readingOrder="0" shrinkToFit="0" vertical="bottom" wrapText="0"/>
    </xf>
    <xf borderId="0" fillId="18" fontId="10" numFmtId="0" xfId="0" applyAlignment="1" applyFont="1">
      <alignment shrinkToFit="0" vertical="bottom" wrapText="0"/>
    </xf>
    <xf borderId="0" fillId="18" fontId="60" numFmtId="0" xfId="0" applyAlignment="1" applyFont="1">
      <alignment horizontal="left" readingOrder="0"/>
    </xf>
    <xf borderId="0" fillId="18" fontId="1" numFmtId="0" xfId="0" applyAlignment="1" applyFont="1">
      <alignment readingOrder="0"/>
    </xf>
    <xf borderId="0" fillId="18" fontId="1" numFmtId="0" xfId="0" applyFont="1"/>
    <xf borderId="0" fillId="9" fontId="10"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climate-laws.org/rails/active_storage/blobs/eyJfcmFpbHMiOnsibWVzc2FnZSI6IkJBaHBBaFFHIiwiZXhwIjpudWxsLCJwdXIiOiJibG9iX2lkIn19--9ea0c7985bd8e2cc31c27582a370ea3607064d40/f" TargetMode="External"/><Relationship Id="rId42" Type="http://schemas.openxmlformats.org/officeDocument/2006/relationships/hyperlink" Target="https://climate-laws.org/rails/active_storage/blobs/eyJfcmFpbHMiOnsibWVzc2FnZSI6IkJBaHBBcFFKIiwiZXhwIjpudWxsLCJwdXIiOiJibG9iX2lkIn19--a5b7f702337546914460ef1ee5a1a1f8c6a35b20/f" TargetMode="External"/><Relationship Id="rId41" Type="http://schemas.openxmlformats.org/officeDocument/2006/relationships/hyperlink" Target="https://www.mise.gov.it/images/stories/documenti/BROCHURE_ENG_SEN.PDF" TargetMode="External"/><Relationship Id="rId44" Type="http://schemas.openxmlformats.org/officeDocument/2006/relationships/hyperlink" Target="https://climate-laws.org/rails/active_storage/blobs/eyJfcmFpbHMiOnsibWVzc2FnZSI6IkJBaHBBcFlKIiwiZXhwIjpudWxsLCJwdXIiOiJibG9iX2lkIn19--140826a8bd90bbb4a57dd167c045ef598e1665ae/f" TargetMode="External"/><Relationship Id="rId43" Type="http://schemas.openxmlformats.org/officeDocument/2006/relationships/hyperlink" Target="https://climate-laws.org/rails/active_storage/blobs/eyJfcmFpbHMiOnsibWVzc2FnZSI6IkJBaHBBcFVKIiwiZXhwIjpudWxsLCJwdXIiOiJibG9iX2lkIn19--314d091312cbbde98d6bc61530698d2831613baf/f" TargetMode="External"/><Relationship Id="rId46" Type="http://schemas.openxmlformats.org/officeDocument/2006/relationships/hyperlink" Target="https://climate-laws.org/rails/active_storage/blobs/eyJfcmFpbHMiOnsibWVzc2FnZSI6IkJBaHBBcEFKIiwiZXhwIjpudWxsLCJwdXIiOiJibG9iX2lkIn19--6444fbac6e2186afa7ae222e5fdfec3b44c183c2/f" TargetMode="External"/><Relationship Id="rId45" Type="http://schemas.openxmlformats.org/officeDocument/2006/relationships/hyperlink" Target="https://climate-laws.org/rails/active_storage/blobs/eyJfcmFpbHMiOnsibWVzc2FnZSI6IkJBaHBBcGNKIiwiZXhwIjpudWxsLCJwdXIiOiJibG9iX2lkIn19--de9434f66ab0c41e399263ad16a9a24420be4766/f" TargetMode="External"/><Relationship Id="rId107" Type="http://schemas.openxmlformats.org/officeDocument/2006/relationships/hyperlink" Target="http://kenyalaw.org/kl/index.php?id=701%7Cen" TargetMode="External"/><Relationship Id="rId106" Type="http://schemas.openxmlformats.org/officeDocument/2006/relationships/hyperlink" Target="http://www.lse.ac.uk/GranthamInstitute/wp-content/uploads/2017/12/Farm-Forestry-RulesKenya.pdf" TargetMode="External"/><Relationship Id="rId105" Type="http://schemas.openxmlformats.org/officeDocument/2006/relationships/hyperlink" Target="https://climate-laws.org/rails/active_storage/blobs/eyJfcmFpbHMiOnsibWVzc2FnZSI6IkJBaHBBZ2dHIiwiZXhwIjpudWxsLCJwdXIiOiJibG9iX2lkIn19--8732cad6e7c37371e3fcebade6a08ab33c89ad31/f" TargetMode="External"/><Relationship Id="rId104" Type="http://schemas.openxmlformats.org/officeDocument/2006/relationships/hyperlink" Target="https://climate-laws.org/rails/active_storage/blobs/eyJfcmFpbHMiOnsibWVzc2FnZSI6IkJBaHBBZ2NHIiwiZXhwIjpudWxsLCJwdXIiOiJibG9iX2lkIn19--04d25dc2dbdced0caa7183982a16bc76536942a1/f" TargetMode="External"/><Relationship Id="rId109" Type="http://schemas.openxmlformats.org/officeDocument/2006/relationships/hyperlink" Target="https://climate-laws.org/rails/active_storage/blobs/eyJfcmFpbHMiOnsibWVzc2FnZSI6IkJBaHBBbXdKIiwiZXhwIjpudWxsLCJwdXIiOiJibG9iX2lkIn19--a8aa9eab5fce33ebaf0dadf9fd71d450c7b7f56b/f" TargetMode="External"/><Relationship Id="rId108" Type="http://schemas.openxmlformats.org/officeDocument/2006/relationships/hyperlink" Target="http://kenyalaw.org/kl/index.php?id=701" TargetMode="External"/><Relationship Id="rId48" Type="http://schemas.openxmlformats.org/officeDocument/2006/relationships/hyperlink" Target="https://climate-laws.org/rails/active_storage/blobs/eyJfcmFpbHMiOnsibWVzc2FnZSI6IkJBaHBBcElKIiwiZXhwIjpudWxsLCJwdXIiOiJibG9iX2lkIn19--90f61373a41b8248e2d853ceea643bdd92938c84/f" TargetMode="External"/><Relationship Id="rId47" Type="http://schemas.openxmlformats.org/officeDocument/2006/relationships/hyperlink" Target="https://climate-laws.org/rails/active_storage/blobs/eyJfcmFpbHMiOnsibWVzc2FnZSI6IkJBaHBBcEVKIiwiZXhwIjpudWxsLCJwdXIiOiJibG9iX2lkIn19--478d9513507b4c7f6dc2d77439c4e7ccbadadf73/f" TargetMode="External"/><Relationship Id="rId49" Type="http://schemas.openxmlformats.org/officeDocument/2006/relationships/hyperlink" Target="https://climate-laws.org/rails/active_storage/blobs/eyJfcmFpbHMiOnsibWVzc2FnZSI6IkJBaHBBcE1KIiwiZXhwIjpudWxsLCJwdXIiOiJibG9iX2lkIn19--348567302c85bbf05e0ba58ccc3f03a8652937c3/f" TargetMode="External"/><Relationship Id="rId103" Type="http://schemas.openxmlformats.org/officeDocument/2006/relationships/hyperlink" Target="https://climate-laws.org/rails/active_storage/blobs/eyJfcmFpbHMiOnsibWVzc2FnZSI6IkJBaHBBdGtLIiwiZXhwIjpudWxsLCJwdXIiOiJibG9iX2lkIn19--b09f1fcfde7e800a14e90b8aec16c96674564af0/2031_draft%20law.pdf" TargetMode="External"/><Relationship Id="rId102" Type="http://schemas.openxmlformats.org/officeDocument/2006/relationships/hyperlink" Target="https://climate-laws.org/rails/active_storage/blobs/eyJfcmFpbHMiOnsibWVzc2FnZSI6IkJBaHBBZzBJIiwiZXhwIjpudWxsLCJwdXIiOiJibG9iX2lkIn19--994042091b9017de34ce46af1f703b7d004e001a/f" TargetMode="External"/><Relationship Id="rId101" Type="http://schemas.openxmlformats.org/officeDocument/2006/relationships/hyperlink" Target="https://climate-laws.org/rails/active_storage/blobs/eyJfcmFpbHMiOnsibWVzc2FnZSI6IkJBaHBBaUlLIiwiZXhwIjpudWxsLCJwdXIiOiJibG9iX2lkIn19--cb5cb33598af6efbbc2da98e064f2726d88810d7/f" TargetMode="External"/><Relationship Id="rId100" Type="http://schemas.openxmlformats.org/officeDocument/2006/relationships/hyperlink" Target="https://climate-laws.org/rails/active_storage/blobs/eyJfcmFpbHMiOnsibWVzc2FnZSI6IkJBaHBBaUVLIiwiZXhwIjpudWxsLCJwdXIiOiJibG9iX2lkIn19--42e4b375c84588de16d638a5b834e5ba5ff7d379/f" TargetMode="External"/><Relationship Id="rId31" Type="http://schemas.openxmlformats.org/officeDocument/2006/relationships/hyperlink" Target="https://climate-laws.org/rails/active_storage/blobs/eyJfcmFpbHMiOnsibWVzc2FnZSI6IkJBaHBBcFVHIiwiZXhwIjpudWxsLCJwdXIiOiJibG9iX2lkIn19--3fc26241b219863fc669c21ee2c8a1fea04da755/f" TargetMode="External"/><Relationship Id="rId30" Type="http://schemas.openxmlformats.org/officeDocument/2006/relationships/hyperlink" Target="https://climate-laws.org/rails/active_storage/blobs/eyJfcmFpbHMiOnsibWVzc2FnZSI6IkJBaHBBdm9HIiwiZXhwIjpudWxsLCJwdXIiOiJibG9iX2lkIn19--a02711ddef3cd8c93aacc504e8d07a2d60e64e9d/f" TargetMode="External"/><Relationship Id="rId33" Type="http://schemas.openxmlformats.org/officeDocument/2006/relationships/hyperlink" Target="https://climate-laws.org/rails/active_storage/blobs/eyJfcmFpbHMiOnsibWVzc2FnZSI6IkJBaHBBcUlKIiwiZXhwIjpudWxsLCJwdXIiOiJibG9iX2lkIn19--d1d737bbf56ee65d9f8c96b8894b8beade73e4de/f" TargetMode="External"/><Relationship Id="rId32" Type="http://schemas.openxmlformats.org/officeDocument/2006/relationships/hyperlink" Target="https://climate-laws.org/rails/active_storage/blobs/eyJfcmFpbHMiOnsibWVzc2FnZSI6IkJBaHBBcFlHIiwiZXhwIjpudWxsLCJwdXIiOiJibG9iX2lkIn19--b62e6de121bf53bd7f7fb797658799e615e29aeb/f" TargetMode="External"/><Relationship Id="rId35" Type="http://schemas.openxmlformats.org/officeDocument/2006/relationships/hyperlink" Target="https://www.gov.il/he/departments/policies/dec171_2021" TargetMode="External"/><Relationship Id="rId34" Type="http://schemas.openxmlformats.org/officeDocument/2006/relationships/hyperlink" Target="https://climate-laws.org/rails/active_storage/blobs/eyJfcmFpbHMiOnsibWVzc2FnZSI6IkJBaHBBcU1KIiwiZXhwIjpudWxsLCJwdXIiOiJibG9iX2lkIn19--aad80e3c9980331494782897e7f3bb4bc40af899/f" TargetMode="External"/><Relationship Id="rId37" Type="http://schemas.openxmlformats.org/officeDocument/2006/relationships/hyperlink" Target="https://www.gov.il/he/departments/guides/waste_strategy_2030_circular_economy_2050" TargetMode="External"/><Relationship Id="rId36" Type="http://schemas.openxmlformats.org/officeDocument/2006/relationships/hyperlink" Target="https://www.gov.il/he/Departments/policies/2015_dec542" TargetMode="External"/><Relationship Id="rId39" Type="http://schemas.openxmlformats.org/officeDocument/2006/relationships/hyperlink" Target="https://climate-laws.org/rails/active_storage/blobs/eyJfcmFpbHMiOnsibWVzc2FnZSI6IkJBaHBBaE1HIiwiZXhwIjpudWxsLCJwdXIiOiJibG9iX2lkIn19--76ef762e995acedaa724541f478f6b4d776afd78/f" TargetMode="External"/><Relationship Id="rId38" Type="http://schemas.openxmlformats.org/officeDocument/2006/relationships/hyperlink" Target="https://www.gov.il/en/departments/news/ministry_unveils_new_waste_strategy_for_israel" TargetMode="External"/><Relationship Id="rId20" Type="http://schemas.openxmlformats.org/officeDocument/2006/relationships/hyperlink" Target="https://climate-laws.org/rails/active_storage/blobs/eyJfcmFpbHMiOnsibWVzc2FnZSI6IkJBaHBBbklJIiwiZXhwIjpudWxsLCJwdXIiOiJibG9iX2lkIn19--f3e6a5e3d4af92a4808ca26dc589af91a7035913/f" TargetMode="External"/><Relationship Id="rId22" Type="http://schemas.openxmlformats.org/officeDocument/2006/relationships/hyperlink" Target="https://www.gov.ie/en/press-release/22e97-government-approves-landmark-climate-bill-putting-ireland-on-the-path-to-net-zero-emissions-by-2050/" TargetMode="External"/><Relationship Id="rId21" Type="http://schemas.openxmlformats.org/officeDocument/2006/relationships/hyperlink" Target="https://data.oireachtas.ie/ie/oireachtas/bill/2021/39/eng/ver_b/b39b21d.pdf" TargetMode="External"/><Relationship Id="rId24" Type="http://schemas.openxmlformats.org/officeDocument/2006/relationships/hyperlink" Target="https://data.oireachtas.ie/ie/oireachtas/bill/2016/37/eng/memo/b3716d-memo.pdf" TargetMode="External"/><Relationship Id="rId23" Type="http://schemas.openxmlformats.org/officeDocument/2006/relationships/hyperlink" Target="https://data.oireachtas.ie/ie/oireachtas/act/2017/15/eng/enacted/a1517.pdf" TargetMode="External"/><Relationship Id="rId26" Type="http://schemas.openxmlformats.org/officeDocument/2006/relationships/hyperlink" Target="https://climate-laws.org/rails/active_storage/blobs/eyJfcmFpbHMiOnsibWVzc2FnZSI6IkJBaHBBcGNIIiwiZXhwIjpudWxsLCJwdXIiOiJibG9iX2lkIn19--0938ffa12f0b0907029e75d8c48cd84f39835a3d/f" TargetMode="External"/><Relationship Id="rId121" Type="http://schemas.openxmlformats.org/officeDocument/2006/relationships/hyperlink" Target="https://climate-laws.org/rails/active_storage/blobs/eyJfcmFpbHMiOnsibWVzc2FnZSI6IkJBaHBBaWNHIiwiZXhwIjpudWxsLCJwdXIiOiJibG9iX2lkIn19--c4939ccd525a2433cac9b1959ce3074c877e39f1/f" TargetMode="External"/><Relationship Id="rId25" Type="http://schemas.openxmlformats.org/officeDocument/2006/relationships/hyperlink" Target="https://climate-laws.org/rails/active_storage/blobs/eyJfcmFpbHMiOnsibWVzc2FnZSI6IkJBaHBBcFlIIiwiZXhwIjpudWxsLCJwdXIiOiJibG9iX2lkIn19--8aecd62a71720e9989d4e5d2e6b67241ef6d32ee/f" TargetMode="External"/><Relationship Id="rId120" Type="http://schemas.openxmlformats.org/officeDocument/2006/relationships/hyperlink" Target="https://climate-laws.org/rails/active_storage/blobs/eyJfcmFpbHMiOnsibWVzc2FnZSI6IkJBaHBBaVlHIiwiZXhwIjpudWxsLCJwdXIiOiJibG9iX2lkIn19--4393f98469f47dfb78d60c84e948c0402f0537ff/f" TargetMode="External"/><Relationship Id="rId28" Type="http://schemas.openxmlformats.org/officeDocument/2006/relationships/hyperlink" Target="https://climate-laws.org/rails/active_storage/blobs/eyJfcmFpbHMiOnsibWVzc2FnZSI6IkJBaHBBa01IIiwiZXhwIjpudWxsLCJwdXIiOiJibG9iX2lkIn19--380d6419d25123f3f72c1d6fdd39e811c603c059/f" TargetMode="External"/><Relationship Id="rId27" Type="http://schemas.openxmlformats.org/officeDocument/2006/relationships/hyperlink" Target="https://climate-laws.org/rails/active_storage/blobs/eyJfcmFpbHMiOnsibWVzc2FnZSI6IkJBaHBBa0lIIiwiZXhwIjpudWxsLCJwdXIiOiJibG9iX2lkIn19--aea931e1ef6c897ecefb949d76bbc1b04c49a7b1/f" TargetMode="External"/><Relationship Id="rId29" Type="http://schemas.openxmlformats.org/officeDocument/2006/relationships/hyperlink" Target="https://climate-laws.org/rails/active_storage/blobs/eyJfcmFpbHMiOnsibWVzc2FnZSI6IkJBaHBBdmtHIiwiZXhwIjpudWxsLCJwdXIiOiJibG9iX2lkIn19--947433082dd396fab7a833d2638c6de9bc3c4595/f" TargetMode="External"/><Relationship Id="rId122" Type="http://schemas.openxmlformats.org/officeDocument/2006/relationships/drawing" Target="../drawings/drawing1.xml"/><Relationship Id="rId95" Type="http://schemas.openxmlformats.org/officeDocument/2006/relationships/hyperlink" Target="https://www.maff.go.jp/e/policies/env/env_policy/attach/pdf/meadri-4.pdf" TargetMode="External"/><Relationship Id="rId94" Type="http://schemas.openxmlformats.org/officeDocument/2006/relationships/hyperlink" Target="https://www.maff.go.jp/e/policies/env/env_policy/attach/pdf/meadri_s.pdf" TargetMode="External"/><Relationship Id="rId97" Type="http://schemas.openxmlformats.org/officeDocument/2006/relationships/hyperlink" Target="http://extwprlegs1.fao.org/docs/pdf/jor173241E.pdf" TargetMode="External"/><Relationship Id="rId96" Type="http://schemas.openxmlformats.org/officeDocument/2006/relationships/hyperlink" Target="http://extwprlegs1.fao.org/docs/pdf/jor193638.pdf" TargetMode="External"/><Relationship Id="rId11" Type="http://schemas.openxmlformats.org/officeDocument/2006/relationships/hyperlink" Target="https://climate-laws.org/rails/active_storage/blobs/eyJfcmFpbHMiOnsibWVzc2FnZSI6IkJBaHBBcUVNIiwiZXhwIjpudWxsLCJwdXIiOiJibG9iX2lkIn19--50957a9fe0c1d2302c65581e3f8c77e8024daa9b/2014%20PP%20No%2079%20of%202014%20National%20Energy%20Policy.pdf" TargetMode="External"/><Relationship Id="rId99" Type="http://schemas.openxmlformats.org/officeDocument/2006/relationships/hyperlink" Target="https://policy.asiapacificenergy.org/sites/default/files/Concept%20on%20Transition%20towards%20Green%20Economy%20until%202050%20%28RU%29.pdf" TargetMode="External"/><Relationship Id="rId10" Type="http://schemas.openxmlformats.org/officeDocument/2006/relationships/hyperlink" Target="https://climate-laws.org/rails/active_storage/blobs/eyJfcmFpbHMiOnsibWVzc2FnZSI6IkJBaHBBcUFNIiwiZXhwIjpudWxsLCJwdXIiOiJibG9iX2lkIn19--915154b97b127e2e63d6ffae0386002015da9166/2014%20PP%20No%2079%20of%202014%20National%20Energy%20Policy_EN.pdf" TargetMode="External"/><Relationship Id="rId98" Type="http://schemas.openxmlformats.org/officeDocument/2006/relationships/hyperlink" Target="https://policy.asiapacificenergy.org/sites/default/files/Concept%20on%20Transition%20towards%20Green%20Economy%20until%202050%20%28EN%29.pdf" TargetMode="External"/><Relationship Id="rId13" Type="http://schemas.openxmlformats.org/officeDocument/2006/relationships/hyperlink" Target="https://climate-laws.org/rails/active_storage/blobs/eyJfcmFpbHMiOnsibWVzc2FnZSI6IkJBaHBBcVlNIiwiZXhwIjpudWxsLCJwdXIiOiJibG9iX2lkIn19--11c816f5112de05403904b8a66e47b7e6398bd0a/2013%20MOF%20Reg%2011%20of%202013_Amending%2036%20Menhut%20II%20of%202009%20on%20Procedures%20for%20Licensing%20Activities%20for%20Absorbing%20and%20Restoring%20Carbon%20in%20Forests.pdf" TargetMode="External"/><Relationship Id="rId12" Type="http://schemas.openxmlformats.org/officeDocument/2006/relationships/hyperlink" Target="https://climate-laws.org/rails/active_storage/blobs/eyJfcmFpbHMiOnsibWVzc2FnZSI6IkJBaHBBcVVNIiwiZXhwIjpudWxsLCJwdXIiOiJibG9iX2lkIn19--599940d02177643b716d92efed4cac712c803d26/2009%20MOF%20Reg%2036%20of%202009%20Permitting%20for%20Using%20Carbon%20Sinks%20and%20Reservoirs%20in%20Forests.pdf" TargetMode="External"/><Relationship Id="rId91" Type="http://schemas.openxmlformats.org/officeDocument/2006/relationships/hyperlink" Target="https://www.meti.go.jp/english/press/2017/pdf/1226_003b.pdf" TargetMode="External"/><Relationship Id="rId90" Type="http://schemas.openxmlformats.org/officeDocument/2006/relationships/hyperlink" Target="https://www.meti.go.jp/press/2020/12/20201225012/20201225012-2.pdf" TargetMode="External"/><Relationship Id="rId93" Type="http://schemas.openxmlformats.org/officeDocument/2006/relationships/hyperlink" Target="https://www.maff.go.jp/e/policies/env/env_policy/meadri.html" TargetMode="External"/><Relationship Id="rId92" Type="http://schemas.openxmlformats.org/officeDocument/2006/relationships/hyperlink" Target="https://www.meti.go.jp/english/press/2019/0312_002.html" TargetMode="External"/><Relationship Id="rId118" Type="http://schemas.openxmlformats.org/officeDocument/2006/relationships/hyperlink" Target="https://climate-laws.org/rails/active_storage/blobs/eyJfcmFpbHMiOnsibWVzc2FnZSI6IkJBaHBBcWdGIiwiZXhwIjpudWxsLCJwdXIiOiJibG9iX2lkIn19--8d01c59770e4d8cd2567ffd9bbd63a766f7680ff/f" TargetMode="External"/><Relationship Id="rId117" Type="http://schemas.openxmlformats.org/officeDocument/2006/relationships/hyperlink" Target="https://climate-laws.org/rails/active_storage/blobs/eyJfcmFpbHMiOnsibWVzc2FnZSI6IkJBaHBBc2tNIiwiZXhwIjpudWxsLCJwdXIiOiJibG9iX2lkIn19--11c3efb7f290627c67fd2bd9a9ff8377acbf03cf/2019%20Kiribati-Joint-Implementation-Plan-for-Climate-Change-and-Disaster-Risk-Management-2019-2028.pdf" TargetMode="External"/><Relationship Id="rId116" Type="http://schemas.openxmlformats.org/officeDocument/2006/relationships/hyperlink" Target="https://climate-laws.org/rails/active_storage/blobs/eyJfcmFpbHMiOnsibWVzc2FnZSI6IkJBaHBBam9IIiwiZXhwIjpudWxsLCJwdXIiOiJibG9iX2lkIn19--d7ffac1366f335e377052eeee88a55ba63a8d952/f" TargetMode="External"/><Relationship Id="rId115" Type="http://schemas.openxmlformats.org/officeDocument/2006/relationships/hyperlink" Target="https://www.nema.go.ke/images/Docs/Legislation%20and%20Policies/EMCA%20Act%202015.pdf" TargetMode="External"/><Relationship Id="rId119" Type="http://schemas.openxmlformats.org/officeDocument/2006/relationships/hyperlink" Target="https://climate-laws.org/rails/active_storage/blobs/eyJfcmFpbHMiOnsibWVzc2FnZSI6IkJBaHBBcWtGIiwiZXhwIjpudWxsLCJwdXIiOiJibG9iX2lkIn19--b0567f15298dffb910c24d222b83d49b48fa82a2/f" TargetMode="External"/><Relationship Id="rId15" Type="http://schemas.openxmlformats.org/officeDocument/2006/relationships/hyperlink" Target="http://extwprlegs1.fao.org/docs/pdf/ins174375.pdf" TargetMode="External"/><Relationship Id="rId110" Type="http://schemas.openxmlformats.org/officeDocument/2006/relationships/hyperlink" Target="https://climate-laws.org/rails/active_storage/blobs/eyJfcmFpbHMiOnsibWVzc2FnZSI6IkJBaHBBbTBKIiwiZXhwIjpudWxsLCJwdXIiOiJibG9iX2lkIn19--1569c7650f302ad8e90897461ee714b75274f772/f" TargetMode="External"/><Relationship Id="rId14" Type="http://schemas.openxmlformats.org/officeDocument/2006/relationships/hyperlink" Target="https://climate-laws.org/rails/active_storage/blobs/eyJfcmFpbHMiOnsibWVzc2FnZSI6IkJBaHBBaUFPIiwiZXhwIjpudWxsLCJwdXIiOiJibG9iX2lkIn19--22b157433d8ed537b49102923fd06d7962c8af6b/PP_NO_57_2016.pdf" TargetMode="External"/><Relationship Id="rId17" Type="http://schemas.openxmlformats.org/officeDocument/2006/relationships/hyperlink" Target="https://climate-laws.org/rails/active_storage/blobs/eyJfcmFpbHMiOnsibWVzc2FnZSI6IkJBaHBBcmtKIiwiZXhwIjpudWxsLCJwdXIiOiJibG9iX2lkIn19--585ddf140054ff02b151a2d1926d42f681c63926/f" TargetMode="External"/><Relationship Id="rId16" Type="http://schemas.openxmlformats.org/officeDocument/2006/relationships/hyperlink" Target="https://climate-laws.org/rails/active_storage/blobs/eyJfcmFpbHMiOnsibWVzc2FnZSI6IkJBaHBBcmdKIiwiZXhwIjpudWxsLCJwdXIiOiJibG9iX2lkIn19--f1ce557eda2800a1938586774476d0d66fa62738/f" TargetMode="External"/><Relationship Id="rId19" Type="http://schemas.openxmlformats.org/officeDocument/2006/relationships/hyperlink" Target="https://climate-laws.org/rails/active_storage/blobs/eyJfcmFpbHMiOnsibWVzc2FnZSI6IkJBaHBBckFKIiwiZXhwIjpudWxsLCJwdXIiOiJibG9iX2lkIn19--80abb78ec26543cc701d9b3fa937ebac2ae01102/f" TargetMode="External"/><Relationship Id="rId114" Type="http://schemas.openxmlformats.org/officeDocument/2006/relationships/hyperlink" Target="http://extwprlegs1.fao.org/docs/pdf/ken41653.pdf" TargetMode="External"/><Relationship Id="rId18" Type="http://schemas.openxmlformats.org/officeDocument/2006/relationships/hyperlink" Target="https://climate-laws.org/rails/active_storage/blobs/eyJfcmFpbHMiOnsibWVzc2FnZSI6IkJBaHBBcThKIiwiZXhwIjpudWxsLCJwdXIiOiJibG9iX2lkIn19--9485b8d424b12937a352f5e578fe495b2d6677c5/f" TargetMode="External"/><Relationship Id="rId113" Type="http://schemas.openxmlformats.org/officeDocument/2006/relationships/hyperlink" Target="https://climate-laws.org/rails/active_storage/blobs/eyJfcmFpbHMiOnsibWVzc2FnZSI6IkJBaHBBc29GIiwiZXhwIjpudWxsLCJwdXIiOiJibG9iX2lkIn19--2ad0423967edb71b1ce803ee312fb59f3c53a710/f" TargetMode="External"/><Relationship Id="rId112" Type="http://schemas.openxmlformats.org/officeDocument/2006/relationships/hyperlink" Target="https://climate-laws.org/rails/active_storage/blobs/eyJfcmFpbHMiOnsibWVzc2FnZSI6IkJBaHBBc2tGIiwiZXhwIjpudWxsLCJwdXIiOiJibG9iX2lkIn19--6d125abfc1fd6c1e405fb372b78df58b1943ecc1/f" TargetMode="External"/><Relationship Id="rId111" Type="http://schemas.openxmlformats.org/officeDocument/2006/relationships/hyperlink" Target="https://climate-laws.org/rails/active_storage/blobs/eyJfcmFpbHMiOnsibWVzc2FnZSI6IkJBaHBBc2dGIiwiZXhwIjpudWxsLCJwdXIiOiJibG9iX2lkIn19--5ec3b6e8b2662f7902579f2012a999b8924d89ab/f" TargetMode="External"/><Relationship Id="rId84" Type="http://schemas.openxmlformats.org/officeDocument/2006/relationships/hyperlink" Target="http://www.meti.go.jp/english/press/2015/0716_01.html" TargetMode="External"/><Relationship Id="rId83" Type="http://schemas.openxmlformats.org/officeDocument/2006/relationships/hyperlink" Target="http://www.enecho.meti.go.jp/en/category/others/basic_plan/pdf/4th_strategic_energy_plan.pdf" TargetMode="External"/><Relationship Id="rId86" Type="http://schemas.openxmlformats.org/officeDocument/2006/relationships/hyperlink" Target="http://www.env.go.jp/en/focus/docs/files/20151127-101.pdf" TargetMode="External"/><Relationship Id="rId85" Type="http://schemas.openxmlformats.org/officeDocument/2006/relationships/hyperlink" Target="https://www.meti.go.jp/english/press/2018/0703_002.html" TargetMode="External"/><Relationship Id="rId88" Type="http://schemas.openxmlformats.org/officeDocument/2006/relationships/hyperlink" Target="https://www.meti.go.jp/english/press/2020/1225_001.html" TargetMode="External"/><Relationship Id="rId87" Type="http://schemas.openxmlformats.org/officeDocument/2006/relationships/hyperlink" Target="http://www.env.go.jp/en/focus/docs/files/20150300-100.pdf" TargetMode="External"/><Relationship Id="rId89" Type="http://schemas.openxmlformats.org/officeDocument/2006/relationships/hyperlink" Target="https://www.meti.go.jp/english/press/2020/pdf/1225_001a.pdf" TargetMode="External"/><Relationship Id="rId80" Type="http://schemas.openxmlformats.org/officeDocument/2006/relationships/hyperlink" Target="http://www.env.go.jp/press/ontaihou/116348.pdf" TargetMode="External"/><Relationship Id="rId82" Type="http://schemas.openxmlformats.org/officeDocument/2006/relationships/hyperlink" Target="https://climate-laws.org/rails/active_storage/blobs/eyJfcmFpbHMiOnsibWVzc2FnZSI6IkJBaHBBbzBIIiwiZXhwIjpudWxsLCJwdXIiOiJibG9iX2lkIn19--d76ba6eb07212363acdd03d8cd888dce5648687c/f" TargetMode="External"/><Relationship Id="rId81" Type="http://schemas.openxmlformats.org/officeDocument/2006/relationships/hyperlink" Target="http://www.env.go.jp/en/headline/2238.html" TargetMode="External"/><Relationship Id="rId1" Type="http://schemas.openxmlformats.org/officeDocument/2006/relationships/hyperlink" Target="https://climate-laws.org/rails/active_storage/blobs/eyJfcmFpbHMiOnsibWVzc2FnZSI6IkJBaHBBaUVHIiwiZXhwIjpudWxsLCJwdXIiOiJibG9iX2lkIn19--2edc173ca6e688a1d121c90f6282721aca9b0ca7/f" TargetMode="External"/><Relationship Id="rId2" Type="http://schemas.openxmlformats.org/officeDocument/2006/relationships/hyperlink" Target="https://climate-laws.org/rails/active_storage/blobs/eyJfcmFpbHMiOnsibWVzc2FnZSI6IkJBaHBBaUlHIiwiZXhwIjpudWxsLCJwdXIiOiJibG9iX2lkIn19--8c435aa888628a4bbbef25307cab8c50b5be954a/f" TargetMode="External"/><Relationship Id="rId3" Type="http://schemas.openxmlformats.org/officeDocument/2006/relationships/hyperlink" Target="https://storage.googleapis.com/cclow-staging/6nxfhn9dfeqs7xg3nt1ox4inilxk?GoogleAccessId=laws-and-pathways-staging%40soy-truth-247515.iam.gserviceaccount.com&amp;Expires=1624617321&amp;Signature=VJvJDwBkdiU2CsJO3c7L0e9R7SnCNiDLRLYDJyac1XTIDeOE2wVrKydK6XRa8Gf8ADf4rYkJqn3NrSmfIeiNF2yRR%2FXWUVRgUcLtPugpoVLAHHJ9u17g7qiuux1SlWVKgKPJIosOML2KnS9yN5a3K2azeGPSZvckE1fIG7%2BQfhYfwm2T09J%2FyiRJE%2BSTITSnKrvhztOyzGefIoTcjOHg%2FIl%2FuaPz7%2F3Z6%2B1B1kPjjTHDCv4um10KUxxTCpfwOySwMExRm61N2ksIwfP%2BNr7vy12%2FoQ7TkiHsG%2FARlIClEM0dwk%2BNTu%2BameDkCI9dQjxB3AAmxjwTyzyBfJDeHwrcIw%3D%3D&amp;response-content-disposition=inline%3B+filename%3D%22f%22%3B+filename%2A%3DUTF-8%27%27f&amp;response-content-type=application%2Fpdf%7Cen" TargetMode="External"/><Relationship Id="rId4" Type="http://schemas.openxmlformats.org/officeDocument/2006/relationships/hyperlink" Target="https://storage.googleapis.com/cclow-staging/6nxfhn9dfeqs7xg3nt1ox4inilxk?GoogleAccessId=laws-and-pathways-staging%40soy-truth-247515.iam.gserviceaccount.com&amp;Expires=1624617321&amp;Signature=VJvJDwBkdiU2CsJO3c7L0e9R7SnCNiDLRLYDJyac1XTIDeOE2wVrKydK6XRa8Gf8ADf4rYkJqn3NrSmfIeiNF2yRR%2FXWUVRgUcLtPugpoVLAHHJ9u17g7qiuux1SlWVKgKPJIosOML2KnS9yN5a3K2azeGPSZvckE1fIG7%2BQfhYfwm2T09J%2FyiRJE%2BSTITSnKrvhztOyzGefIoTcjOHg%2FIl%2FuaPz7%2F3Z6%2B1B1kPjjTHDCv4um10KUxxTCpfwOySwMExRm61N2ksIwfP%2BNr7vy12%2FoQ7TkiHsG%2FARlIClEM0dwk%2BNTu%2BameDkCI9dQjxB3AAmxjwTyzyBfJDeHwrcIw%3D%3D&amp;response-content-disposition=inline%3B+filename%3D%22f%22%3B+filename%2A%3DUTF-8%27%27f&amp;response-content-type=application%2Fpdf" TargetMode="External"/><Relationship Id="rId9" Type="http://schemas.openxmlformats.org/officeDocument/2006/relationships/hyperlink" Target="https://climate-laws.org/rails/active_storage/blobs/eyJfcmFpbHMiOnsibWVzc2FnZSI6IkJBaHBBcGtNIiwiZXhwIjpudWxsLCJwdXIiOiJibG9iX2lkIn19--01b23da345beb2a7d2d8e65f98fb59e167a1d6da/2009%20Act%2031%20of%202009_Meterology%20and%20Climate%20Law.docx" TargetMode="External"/><Relationship Id="rId5" Type="http://schemas.openxmlformats.org/officeDocument/2006/relationships/hyperlink" Target="https://climate-laws.org/rails/active_storage/blobs/eyJfcmFpbHMiOnsibWVzc2FnZSI6IkJBaHBBaDhPIiwiZXhwIjpudWxsLCJwdXIiOiJibG9iX2lkIn19--b416447775144e2484a1d7f04e95f21ec6de92bb/Indonesia%20InPres%205-2019.pdf" TargetMode="External"/><Relationship Id="rId6" Type="http://schemas.openxmlformats.org/officeDocument/2006/relationships/hyperlink" Target="https://climate-laws.org/rails/active_storage/blobs/eyJfcmFpbHMiOnsibWVzc2FnZSI6IkJBaHBBcVlKIiwiZXhwIjpudWxsLCJwdXIiOiJibG9iX2lkIn19--f78211846fbe5abf1f736bcd4c5d442504b678c7/f" TargetMode="External"/><Relationship Id="rId7" Type="http://schemas.openxmlformats.org/officeDocument/2006/relationships/hyperlink" Target="https://climate-laws.org/rails/active_storage/blobs/eyJfcmFpbHMiOnsibWVzc2FnZSI6IkJBaHBBcDBNIiwiZXhwIjpudWxsLCJwdXIiOiJibG9iX2lkIn19--02da595824a5e8cab34c045dfacb2fd61694f2e6/2017%20MOEMR%2012%20of%202017_Renewable%20Energy%20Sources%20for%20Electricity%20Supply.pdf" TargetMode="External"/><Relationship Id="rId8" Type="http://schemas.openxmlformats.org/officeDocument/2006/relationships/hyperlink" Target="https://climate-laws.org/rails/active_storage/blobs/eyJfcmFpbHMiOnsibWVzc2FnZSI6IkJBaHBBcGdNIiwiZXhwIjpudWxsLCJwdXIiOiJibG9iX2lkIn19--22b9b9cd9b24af29b845def0155eb89abca719c4/2009%20UU%20No.%2031%20of%202009%20Meterology%20Climatology%20and%20Geophysics.pdf" TargetMode="External"/><Relationship Id="rId73" Type="http://schemas.openxmlformats.org/officeDocument/2006/relationships/hyperlink" Target="https://climate-laws.org/rails/active_storage/blobs/eyJfcmFpbHMiOnsibWVzc2FnZSI6IkJBaHBBb0FNIiwiZXhwIjpudWxsLCJwdXIiOiJibG9iX2lkIn19--aa0695c4f0a1a729dcf05cbde049de7582835670/vision%202030%20jamaica%20ndp%20full%20no%20cover%20(web).pdf" TargetMode="External"/><Relationship Id="rId72" Type="http://schemas.openxmlformats.org/officeDocument/2006/relationships/hyperlink" Target="https://climate-laws.org/rails/active_storage/blobs/eyJfcmFpbHMiOnsibWVzc2FnZSI6IkJBaHBBaUlJIiwiZXhwIjpudWxsLCJwdXIiOiJibG9iX2lkIn19--0a5df662a7749cf74a037871f5383ba9a981de7f/f" TargetMode="External"/><Relationship Id="rId75" Type="http://schemas.openxmlformats.org/officeDocument/2006/relationships/hyperlink" Target="https://climate-laws.org/rails/active_storage/blobs/eyJfcmFpbHMiOnsibWVzc2FnZSI6IkJBaHBBbjhNIiwiZXhwIjpudWxsLCJwdXIiOiJibG9iX2lkIn19--1948ac272e274ab45b8c956916f5b9c56c30b8b6/Jamaica-Climate-Change-Policy-fwL-2015.pdf" TargetMode="External"/><Relationship Id="rId74" Type="http://schemas.openxmlformats.org/officeDocument/2006/relationships/hyperlink" Target="https://climate-laws.org/rails/active_storage/blobs/eyJfcmFpbHMiOnsibWVzc2FnZSI6IkJBaHBBaU1JIiwiZXhwIjpudWxsLCJwdXIiOiJibG9iX2lkIn19--3ed5b9c9106acc1a06e417c0429a1592bd26d7f7/f" TargetMode="External"/><Relationship Id="rId77" Type="http://schemas.openxmlformats.org/officeDocument/2006/relationships/hyperlink" Target="https://www.meti.go.jp/english/press/2020/0225_001.html" TargetMode="External"/><Relationship Id="rId76" Type="http://schemas.openxmlformats.org/officeDocument/2006/relationships/hyperlink" Target="https://climate-laws.org/rails/active_storage/blobs/eyJfcmFpbHMiOnsibWVzc2FnZSI6IkJBaHBBb0FKIiwiZXhwIjpudWxsLCJwdXIiOiJibG9iX2lkIn19--da058b5ad11d7f91400c88dc6ce397a23117d67f/f" TargetMode="External"/><Relationship Id="rId79" Type="http://schemas.openxmlformats.org/officeDocument/2006/relationships/hyperlink" Target="http://www.env.go.jp/press/109218.html" TargetMode="External"/><Relationship Id="rId78" Type="http://schemas.openxmlformats.org/officeDocument/2006/relationships/hyperlink" Target="https://climate-laws.org/rails/active_storage/blobs/eyJfcmFpbHMiOnsibWVzc2FnZSI6IkJBaHBBaGtJIiwiZXhwIjpudWxsLCJwdXIiOiJibG9iX2lkIn19--f1aa609515dfd46437ed7ca9d2ab7a036564df28/f" TargetMode="External"/><Relationship Id="rId71" Type="http://schemas.openxmlformats.org/officeDocument/2006/relationships/hyperlink" Target="https://data.consilium.europa.eu/doc/document/ST-10160-2021-INIT/en/pdf" TargetMode="External"/><Relationship Id="rId70" Type="http://schemas.openxmlformats.org/officeDocument/2006/relationships/hyperlink" Target="https://ec.europa.eu/info/business-economy-euro/recovery-coronavirus/recovery-and-resilience-facility/italys-recovery-and-resilience-plan_en" TargetMode="External"/><Relationship Id="rId62" Type="http://schemas.openxmlformats.org/officeDocument/2006/relationships/hyperlink" Target="http://www.governo.it/sites/new.governo.it/files/DL_20200520.pdf" TargetMode="External"/><Relationship Id="rId61" Type="http://schemas.openxmlformats.org/officeDocument/2006/relationships/hyperlink" Target="https://climate-laws.org/rails/active_storage/blobs/eyJfcmFpbHMiOnsibWVzc2FnZSI6IkJBaHBBZ2NNIiwiZXhwIjpudWxsLCJwdXIiOiJibG9iX2lkIn19--bccd50d38e831f32f0adb3b84d3c4e00718cb63c/20200519_128_SO_021.pdf" TargetMode="External"/><Relationship Id="rId64" Type="http://schemas.openxmlformats.org/officeDocument/2006/relationships/hyperlink" Target="https://www.gazzettaufficiale.it/eli/id/2020/07/18/20G00095/sg" TargetMode="External"/><Relationship Id="rId63" Type="http://schemas.openxmlformats.org/officeDocument/2006/relationships/hyperlink" Target="https://www.governo.it/it/articolo/superbonus-la-guida-e-i-documenti/15955" TargetMode="External"/><Relationship Id="rId66" Type="http://schemas.openxmlformats.org/officeDocument/2006/relationships/hyperlink" Target="https://ec.europa.eu/energy/sites/ener/files/documents/it_final_necp_main_en.pdf" TargetMode="External"/><Relationship Id="rId65" Type="http://schemas.openxmlformats.org/officeDocument/2006/relationships/hyperlink" Target="https://www.gazzettaufficiale.it/eli/id/2021/11/11/21G00173/sg" TargetMode="External"/><Relationship Id="rId68" Type="http://schemas.openxmlformats.org/officeDocument/2006/relationships/hyperlink" Target="https://www.governo.it/sites/governo.it/files/PNRR.pdf" TargetMode="External"/><Relationship Id="rId67" Type="http://schemas.openxmlformats.org/officeDocument/2006/relationships/hyperlink" Target="https://ec.europa.eu/energy/sites/ener/files/documents/it_final_necp_main_it.pdf" TargetMode="External"/><Relationship Id="rId60" Type="http://schemas.openxmlformats.org/officeDocument/2006/relationships/hyperlink" Target="http://www.governo.it/it/articolo/comunicato-stampa-del-consiglio-dei-ministri-n-45/14602" TargetMode="External"/><Relationship Id="rId69" Type="http://schemas.openxmlformats.org/officeDocument/2006/relationships/hyperlink" Target="https://ec.europa.eu/info/business-economy-euro/recovery-coronavirus/recovery-and-resilience-facility/italys-recovery-and-resilience-plan_en" TargetMode="External"/><Relationship Id="rId51" Type="http://schemas.openxmlformats.org/officeDocument/2006/relationships/hyperlink" Target="https://climate-laws.org/rails/active_storage/blobs/eyJfcmFpbHMiOnsibWVzc2FnZSI6IkJBaHBBaVlLIiwiZXhwIjpudWxsLCJwdXIiOiJibG9iX2lkIn19--67120b128c2b437d31f2f00d0469c2d865867c90/f" TargetMode="External"/><Relationship Id="rId50" Type="http://schemas.openxmlformats.org/officeDocument/2006/relationships/hyperlink" Target="https://climate-laws.org/rails/active_storage/blobs/eyJfcmFpbHMiOnsibWVzc2FnZSI6IkJBaHBBaVVLIiwiZXhwIjpudWxsLCJwdXIiOiJibG9iX2lkIn19--5b03af1eb044366f0a8fa0054d733fb700964b02/f" TargetMode="External"/><Relationship Id="rId53" Type="http://schemas.openxmlformats.org/officeDocument/2006/relationships/hyperlink" Target="https://climate-laws.org/rails/active_storage/blobs/eyJfcmFpbHMiOnsibWVzc2FnZSI6IkJBaHBBb3dKIiwiZXhwIjpudWxsLCJwdXIiOiJibG9iX2lkIn19--4018ff58ad4b33b7825de52133128f41118f3a33/f" TargetMode="External"/><Relationship Id="rId52" Type="http://schemas.openxmlformats.org/officeDocument/2006/relationships/hyperlink" Target="https://climate-laws.org/rails/active_storage/blobs/eyJfcmFpbHMiOnsibWVzc2FnZSI6IkJBaHBBb3NKIiwiZXhwIjpudWxsLCJwdXIiOiJibG9iX2lkIn19--24b5cda122f230d2fc608c9c26b17a58e2cd2f55/f" TargetMode="External"/><Relationship Id="rId55" Type="http://schemas.openxmlformats.org/officeDocument/2006/relationships/hyperlink" Target="https://climate-laws.org/rails/active_storage/blobs/eyJfcmFpbHMiOnsibWVzc2FnZSI6IkJBaHBBb2tKIiwiZXhwIjpudWxsLCJwdXIiOiJibG9iX2lkIn19--5942f35d34df7711c1f3ad3a5d61570abcc66155/f" TargetMode="External"/><Relationship Id="rId54" Type="http://schemas.openxmlformats.org/officeDocument/2006/relationships/hyperlink" Target="https://climate-laws.org/rails/active_storage/blobs/eyJfcmFpbHMiOnsibWVzc2FnZSI6IkJBaHBBb2dKIiwiZXhwIjpudWxsLCJwdXIiOiJibG9iX2lkIn19--7448d8c08fa7a7850aa98f57b304fffa229eae33/f" TargetMode="External"/><Relationship Id="rId57" Type="http://schemas.openxmlformats.org/officeDocument/2006/relationships/hyperlink" Target="https://www.mite.gov.it/sites/default/files/archivio/allegati/clima/documento_SNAC.pdf" TargetMode="External"/><Relationship Id="rId56" Type="http://schemas.openxmlformats.org/officeDocument/2006/relationships/hyperlink" Target="https://climate-laws.org/rails/active_storage/blobs/eyJfcmFpbHMiOnsibWVzc2FnZSI6IkJBaHBBZzhHIiwiZXhwIjpudWxsLCJwdXIiOiJibG9iX2lkIn19--3fe61301640bdf39f9d0ef20fd26e08b156569b8/f" TargetMode="External"/><Relationship Id="rId59" Type="http://schemas.openxmlformats.org/officeDocument/2006/relationships/hyperlink" Target="https://climate-laws.org/rails/active_storage/blobs/eyJfcmFpbHMiOnsibWVzc2FnZSI6IkJBaHBBa2NKIiwiZXhwIjpudWxsLCJwdXIiOiJibG9iX2lkIn19--48af347b549a936f225901dd900a7900d391def7/f" TargetMode="External"/><Relationship Id="rId58" Type="http://schemas.openxmlformats.org/officeDocument/2006/relationships/hyperlink" Target="https://climate-laws.org/rails/active_storage/blobs/eyJfcmFpbHMiOnsibWVzc2FnZSI6IkJBaHBBa1lKIiwiZXhwIjpudWxsLCJwdXIiOiJibG9iX2lkIn19--ccb30ea48221d8ecbd13f5f1fd9fb207b5d5e461/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40" Type="http://schemas.openxmlformats.org/officeDocument/2006/relationships/hyperlink" Target="https://climate-laws.org/rails/active_storage/blobs/eyJfcmFpbHMiOnsibWVzc2FnZSI6IkJBaHBBcWdLIiwiZXhwIjpudWxsLCJwdXIiOiJibG9iX2lkIn19--d5df5d1fce672e2440ee54c285dacf2c084b16c3/1525%20Norwegian.pdf" TargetMode="External"/><Relationship Id="rId42" Type="http://schemas.openxmlformats.org/officeDocument/2006/relationships/hyperlink" Target="https://climate-laws.org/rails/active_storage/blobs/eyJfcmFpbHMiOnsibWVzc2FnZSI6IkJBaHBBcW9LIiwiZXhwIjpudWxsLCJwdXIiOiJibG9iX2lkIn19--1765b726cc9e1eb6a296da95a223479022dc35b7/1526%20Norwegian.pdf" TargetMode="External"/><Relationship Id="rId41" Type="http://schemas.openxmlformats.org/officeDocument/2006/relationships/hyperlink" Target="https://climate-laws.org/rails/active_storage/blobs/eyJfcmFpbHMiOnsibWVzc2FnZSI6IkJBaHBBcWtLIiwiZXhwIjpudWxsLCJwdXIiOiJibG9iX2lkIn19--ddb8c62f1d55f3281997a549f6c7edfe0597f3cb/1525%20English.pdf" TargetMode="External"/><Relationship Id="rId44" Type="http://schemas.openxmlformats.org/officeDocument/2006/relationships/hyperlink" Target="https://climate-laws.org/rails/active_storage/blobs/eyJfcmFpbHMiOnsibWVzc2FnZSI6IkJBaHBBdVlFIiwiZXhwIjpudWxsLCJwdXIiOiJibG9iX2lkIn19--960b3f45c4eee536b61c641ab23848c512bcd633/f" TargetMode="External"/><Relationship Id="rId43" Type="http://schemas.openxmlformats.org/officeDocument/2006/relationships/hyperlink" Target="https://climate-laws.org/rails/active_storage/blobs/eyJfcmFpbHMiOnsibWVzc2FnZSI6IkJBaHBBcXNLIiwiZXhwIjpudWxsLCJwdXIiOiJibG9iX2lkIn19--5f08400daf7186ee8b5272fb773edd381ee37166/1526%20English.pdf" TargetMode="External"/><Relationship Id="rId46" Type="http://schemas.openxmlformats.org/officeDocument/2006/relationships/hyperlink" Target="https://climate-laws.org/rails/active_storage/blobs/eyJfcmFpbHMiOnsibWVzc2FnZSI6IkJBaHBBZzBGIiwiZXhwIjpudWxsLCJwdXIiOiJibG9iX2lkIn19--e99bcd711aa26fd20736b1efc02872043dea4089/f" TargetMode="External"/><Relationship Id="rId45" Type="http://schemas.openxmlformats.org/officeDocument/2006/relationships/hyperlink" Target="https://climate-laws.org/rails/active_storage/blobs/eyJfcmFpbHMiOnsibWVzc2FnZSI6IkJBaHBBdWNFIiwiZXhwIjpudWxsLCJwdXIiOiJibG9iX2lkIn19--fb0771eaad3288f1a37ffad8739bd068510b2812/f" TargetMode="External"/><Relationship Id="rId107" Type="http://schemas.openxmlformats.org/officeDocument/2006/relationships/hyperlink" Target="http://www.lse.ac.uk/GranthamInstitute/wp-content/uploads/2018/03/D2016000096101.pdf" TargetMode="External"/><Relationship Id="rId106" Type="http://schemas.openxmlformats.org/officeDocument/2006/relationships/hyperlink" Target="https://www.sejm.gov.pl/sejm9.nsf/PrzebiegProc.xsp?nr=1129" TargetMode="External"/><Relationship Id="rId105" Type="http://schemas.openxmlformats.org/officeDocument/2006/relationships/hyperlink" Target="https://www.sejm.gov.pl/sejm9.nsf/PrzebiegProc.xsp?nr=1129%7Cpl" TargetMode="External"/><Relationship Id="rId104" Type="http://schemas.openxmlformats.org/officeDocument/2006/relationships/hyperlink" Target="https://climate-laws.org/rails/active_storage/blobs/eyJfcmFpbHMiOnsibWVzc2FnZSI6IkJBaHBBaDBJIiwiZXhwIjpudWxsLCJwdXIiOiJibG9iX2lkIn19--cc2d78b75f39dc6eb95610801af4b33e2a3b6ae3/f" TargetMode="External"/><Relationship Id="rId109" Type="http://schemas.openxmlformats.org/officeDocument/2006/relationships/hyperlink" Target="http://prawo.sejm.gov.pl/isap.nsf/DocDetails.xsp?id=WDU20160000961" TargetMode="External"/><Relationship Id="rId108" Type="http://schemas.openxmlformats.org/officeDocument/2006/relationships/hyperlink" Target="http://prawo.sejm.gov.pl/isap.nsf/DocDetails.xsp?id=WDU20160000961%7Cpl" TargetMode="External"/><Relationship Id="rId48" Type="http://schemas.openxmlformats.org/officeDocument/2006/relationships/hyperlink" Target="https://climate-laws.org/rails/active_storage/blobs/eyJfcmFpbHMiOnsibWVzc2FnZSI6IkJBaHBBdVFFIiwiZXhwIjpudWxsLCJwdXIiOiJibG9iX2lkIn19--9c9c266722149850b8440d9f48753b1401ab798f/f" TargetMode="External"/><Relationship Id="rId47" Type="http://schemas.openxmlformats.org/officeDocument/2006/relationships/hyperlink" Target="https://climate-laws.org/rails/active_storage/blobs/eyJfcmFpbHMiOnsibWVzc2FnZSI6IkJBaHBBaVlGIiwiZXhwIjpudWxsLCJwdXIiOiJibG9iX2lkIn19--f9bc8211106756c1708a9803d9573098a6f15a5f/f" TargetMode="External"/><Relationship Id="rId49" Type="http://schemas.openxmlformats.org/officeDocument/2006/relationships/hyperlink" Target="https://climate-laws.org/rails/active_storage/blobs/eyJfcmFpbHMiOnsibWVzc2FnZSI6IkJBaHBBdVVFIiwiZXhwIjpudWxsLCJwdXIiOiJibG9iX2lkIn19--d146c893cb6bd7436f61dc93860e221d736fde27/f" TargetMode="External"/><Relationship Id="rId103" Type="http://schemas.openxmlformats.org/officeDocument/2006/relationships/hyperlink" Target="http://prawo.sejm.gov.pl/isap.nsf/DocDetails.xsp?id=WDU20180001356" TargetMode="External"/><Relationship Id="rId102" Type="http://schemas.openxmlformats.org/officeDocument/2006/relationships/hyperlink" Target="http://prawo.sejm.gov.pl/isap.nsf/DocDetails.xsp?id=WDU20180001356%7Cpl" TargetMode="External"/><Relationship Id="rId101" Type="http://schemas.openxmlformats.org/officeDocument/2006/relationships/hyperlink" Target="https://climate-laws.org/rails/active_storage/blobs/eyJfcmFpbHMiOnsibWVzc2FnZSI6IkJBaHBBaDRJIiwiZXhwIjpudWxsLCJwdXIiOiJibG9iX2lkIn19--3a3f935e79a49f6728971653d70dab3a6c5e9271/f" TargetMode="External"/><Relationship Id="rId100" Type="http://schemas.openxmlformats.org/officeDocument/2006/relationships/hyperlink" Target="https://climate-laws.org/rails/active_storage/blobs/eyJfcmFpbHMiOnsibWVzc2FnZSI6IkJBaHBBdFFLIiwiZXhwIjpudWxsLCJwdXIiOiJibG9iX2lkIn19--c7346d790b4cd07edb983a03633bb0d6dda05e19/2005%20English.pdf" TargetMode="External"/><Relationship Id="rId31" Type="http://schemas.openxmlformats.org/officeDocument/2006/relationships/hyperlink" Target="https://climate-laws.org/rails/active_storage/blobs/eyJfcmFpbHMiOnsibWVzc2FnZSI6IkJBaHBBcDhLIiwiZXhwIjpudWxsLCJwdXIiOiJibG9iX2lkIn19--3ae56dae347387db1b28d74c309849f18d6542dd/1518%20English.pdf" TargetMode="External"/><Relationship Id="rId30" Type="http://schemas.openxmlformats.org/officeDocument/2006/relationships/hyperlink" Target="https://climate-laws.org/rails/active_storage/blobs/eyJfcmFpbHMiOnsibWVzc2FnZSI6IkJBaHBBcDRLIiwiZXhwIjpudWxsLCJwdXIiOiJibG9iX2lkIn19--77413658dc6ebc93ca4f7f269ab83bbed3584e63/1518%20Norwegian.pdf" TargetMode="External"/><Relationship Id="rId33" Type="http://schemas.openxmlformats.org/officeDocument/2006/relationships/hyperlink" Target="https://climate-laws.org/rails/active_storage/blobs/eyJfcmFpbHMiOnsibWVzc2FnZSI6IkJBaHBBcUVLIiwiZXhwIjpudWxsLCJwdXIiOiJibG9iX2lkIn19--71528f384cb24f400ae4f869a78dd2bb73d85813/1520%20English.pdf" TargetMode="External"/><Relationship Id="rId32" Type="http://schemas.openxmlformats.org/officeDocument/2006/relationships/hyperlink" Target="https://climate-laws.org/rails/active_storage/blobs/eyJfcmFpbHMiOnsibWVzc2FnZSI6IkJBaHBBcUFLIiwiZXhwIjpudWxsLCJwdXIiOiJibG9iX2lkIn19--8511db02d55e96d4c199bfaa8698a044ba0ae50f/1520%20Norwegian.pdf" TargetMode="External"/><Relationship Id="rId35" Type="http://schemas.openxmlformats.org/officeDocument/2006/relationships/hyperlink" Target="https://climate-laws.org/rails/active_storage/blobs/eyJfcmFpbHMiOnsibWVzc2FnZSI6IkJBaHBBcU1LIiwiZXhwIjpudWxsLCJwdXIiOiJibG9iX2lkIn19--dc6b8ef2c6715e8bfb994cecca7849534b46c135/1522%20Norwegian.pdf" TargetMode="External"/><Relationship Id="rId34" Type="http://schemas.openxmlformats.org/officeDocument/2006/relationships/hyperlink" Target="https://climate-laws.org/rails/active_storage/blobs/eyJfcmFpbHMiOnsibWVzc2FnZSI6IkJBaHBBcUlLIiwiZXhwIjpudWxsLCJwdXIiOiJibG9iX2lkIn19--ee408a3d4cee4f460ef140af4e618a0b2841a428/1522%20English.pdf" TargetMode="External"/><Relationship Id="rId37" Type="http://schemas.openxmlformats.org/officeDocument/2006/relationships/hyperlink" Target="https://climate-laws.org/rails/active_storage/blobs/eyJfcmFpbHMiOnsibWVzc2FnZSI6IkJBaHBBcWNLIiwiZXhwIjpudWxsLCJwdXIiOiJibG9iX2lkIn19--e9aa54acdf82c3cc29a51fd230fb2c179c88cfbd/1523%20English.pdf" TargetMode="External"/><Relationship Id="rId36" Type="http://schemas.openxmlformats.org/officeDocument/2006/relationships/hyperlink" Target="https://climate-laws.org/rails/active_storage/blobs/eyJfcmFpbHMiOnsibWVzc2FnZSI6IkJBaHBBcVlLIiwiZXhwIjpudWxsLCJwdXIiOiJibG9iX2lkIn19--419046d5d1759bfbf63918e5dc839a7cb72a82dd/1523%20Norwegian.pdf" TargetMode="External"/><Relationship Id="rId39" Type="http://schemas.openxmlformats.org/officeDocument/2006/relationships/hyperlink" Target="https://climate-laws.org/rails/active_storage/blobs/eyJfcmFpbHMiOnsibWVzc2FnZSI6IkJBaHBBcVVLIiwiZXhwIjpudWxsLCJwdXIiOiJibG9iX2lkIn19--fe9054eee9071f0e59037b630f2ec671fc401341/1524%20English.pdf" TargetMode="External"/><Relationship Id="rId38" Type="http://schemas.openxmlformats.org/officeDocument/2006/relationships/hyperlink" Target="https://climate-laws.org/rails/active_storage/blobs/eyJfcmFpbHMiOnsibWVzc2FnZSI6IkJBaHBBcVFLIiwiZXhwIjpudWxsLCJwdXIiOiJibG9iX2lkIn19--f56c7288497937c6c9bf5b05776ee5ebdac0edb5/1524%20Norwegian.pdf" TargetMode="External"/><Relationship Id="rId20" Type="http://schemas.openxmlformats.org/officeDocument/2006/relationships/hyperlink" Target="https://www.legislation.govt.nz/act/public/2020/0022/latest/whole.html" TargetMode="External"/><Relationship Id="rId22" Type="http://schemas.openxmlformats.org/officeDocument/2006/relationships/hyperlink" Target="https://climate-laws.org/rails/active_storage/blobs/eyJfcmFpbHMiOnsibWVzc2FnZSI6IkJBaHBBdGtHIiwiZXhwIjpudWxsLCJwdXIiOiJibG9iX2lkIn19--a6e822a0c5c2c6327585e765691de458e5aacf8d/f" TargetMode="External"/><Relationship Id="rId21" Type="http://schemas.openxmlformats.org/officeDocument/2006/relationships/hyperlink" Target="https://www.legislation.govt.nz/act/public/2020/0022/latest/whole.html" TargetMode="External"/><Relationship Id="rId24" Type="http://schemas.openxmlformats.org/officeDocument/2006/relationships/hyperlink" Target="http://legislacion.asamblea.gob.ni/Normaweb.nsf/9e314815a08d4a6206257265005d21f9/078da66d26d90c6a062585e0007bbf00?OpenDocument" TargetMode="External"/><Relationship Id="rId23" Type="http://schemas.openxmlformats.org/officeDocument/2006/relationships/hyperlink" Target="http://legislacion.asamblea.gob.ni/Normaweb.nsf/9e314815a08d4a6206257265005d21f9/078da66d26d90c6a062585e0007bbf00?OpenDocument%7Ces" TargetMode="External"/><Relationship Id="rId26" Type="http://schemas.openxmlformats.org/officeDocument/2006/relationships/hyperlink" Target="https://ni.vlex.com/vid/ley-n-1011-ley-830230069" TargetMode="External"/><Relationship Id="rId25" Type="http://schemas.openxmlformats.org/officeDocument/2006/relationships/hyperlink" Target="http://extwprlegs1.fao.org/docs/pdf/nic177015.pdf" TargetMode="External"/><Relationship Id="rId120" Type="http://schemas.openxmlformats.org/officeDocument/2006/relationships/drawing" Target="../drawings/drawing11.xml"/><Relationship Id="rId28" Type="http://schemas.openxmlformats.org/officeDocument/2006/relationships/hyperlink" Target="https://climate-laws.org/rails/active_storage/blobs/eyJfcmFpbHMiOnsibWVzc2FnZSI6IkJBaHBBa3dNIiwiZXhwIjpudWxsLCJwdXIiOiJibG9iX2lkIn19--9659ffe263bdc33a50fd9b20983805ab28c57667/ESC-Plan-compressed-1.pdf" TargetMode="External"/><Relationship Id="rId27" Type="http://schemas.openxmlformats.org/officeDocument/2006/relationships/hyperlink" Target="http://www.cndc.org.ni/publicaciones/Ley%20272,%20Ley%20de%20Industria%20Electrica.pdf" TargetMode="External"/><Relationship Id="rId29" Type="http://schemas.openxmlformats.org/officeDocument/2006/relationships/hyperlink" Target="https://statehouse.gov.ng/news/what-you-need-to-know-about-the-nigeria-economic-sustainability-plan/" TargetMode="External"/><Relationship Id="rId95" Type="http://schemas.openxmlformats.org/officeDocument/2006/relationships/hyperlink" Target="https://climate-laws.org/rails/active_storage/blobs/eyJfcmFpbHMiOnsibWVzc2FnZSI6IkJBaHBBcTBLIiwiZXhwIjpudWxsLCJwdXIiOiJibG9iX2lkIn19--c217f3a8a847691fb59d2086d4a64fe07c525741/1560%20English.pdf" TargetMode="External"/><Relationship Id="rId94" Type="http://schemas.openxmlformats.org/officeDocument/2006/relationships/hyperlink" Target="https://climate-laws.org/rails/active_storage/blobs/eyJfcmFpbHMiOnsibWVzc2FnZSI6IkJBaHBBcXdLIiwiZXhwIjpudWxsLCJwdXIiOiJibG9iX2lkIn19--64a5b6c0561a56396c12ed23e21beac1a7b1191d/1560%20Polish.pdf" TargetMode="External"/><Relationship Id="rId97" Type="http://schemas.openxmlformats.org/officeDocument/2006/relationships/hyperlink" Target="https://climate-laws.org/rails/active_storage/blobs/eyJfcmFpbHMiOnsibWVzc2FnZSI6IkJBaHBBcThLIiwiZXhwIjpudWxsLCJwdXIiOiJibG9iX2lkIn19--afbb02d29b1e00329a8a2e3eff79140618fc52df/1564%20Polish.pdf" TargetMode="External"/><Relationship Id="rId96" Type="http://schemas.openxmlformats.org/officeDocument/2006/relationships/hyperlink" Target="https://climate-laws.org/rails/active_storage/blobs/eyJfcmFpbHMiOnsibWVzc2FnZSI6IkJBaHBBcTRLIiwiZXhwIjpudWxsLCJwdXIiOiJibG9iX2lkIn19--cd25f272fd2ab088fab1f16526f35c5d92c38078/1564%20English.pdf" TargetMode="External"/><Relationship Id="rId11" Type="http://schemas.openxmlformats.org/officeDocument/2006/relationships/hyperlink" Target="https://climate-laws.org/rails/active_storage/blobs/eyJfcmFpbHMiOnsibWVzc2FnZSI6IkJBaHBBaThNIiwiZXhwIjpudWxsLCJwdXIiOiJibG9iX2lkIn19--c85adb7ba657569ead9023707fbc96241e3fb034/NLD108819.pdf" TargetMode="External"/><Relationship Id="rId99" Type="http://schemas.openxmlformats.org/officeDocument/2006/relationships/hyperlink" Target="https://climate-laws.org/rails/active_storage/blobs/eyJfcmFpbHMiOnsibWVzc2FnZSI6IkJBaHBBdE1LIiwiZXhwIjpudWxsLCJwdXIiOiJibG9iX2lkIn19--f8ecace2f62be728a75600f1a3b037176fe00d9b/2005%20Polish.pdf" TargetMode="External"/><Relationship Id="rId10" Type="http://schemas.openxmlformats.org/officeDocument/2006/relationships/hyperlink" Target="https://wetten.overheid.nl/BWBR0042394/2020-01-01" TargetMode="External"/><Relationship Id="rId98" Type="http://schemas.openxmlformats.org/officeDocument/2006/relationships/hyperlink" Target="https://climate-laws.org/rails/active_storage/blobs/eyJfcmFpbHMiOnsibWVzc2FnZSI6IkJBaHBBdkFNIiwiZXhwIjpudWxsLCJwdXIiOiJibG9iX2lkIn19--2977a8738e6d5a65d4175cb3be24d3dd675ce61a/EN_Extract_EPP2040.pdf" TargetMode="External"/><Relationship Id="rId13" Type="http://schemas.openxmlformats.org/officeDocument/2006/relationships/hyperlink" Target="https://www.rvo.nl/onderwerpen/duurzaam-ondernemen/energieakkoord" TargetMode="External"/><Relationship Id="rId12" Type="http://schemas.openxmlformats.org/officeDocument/2006/relationships/hyperlink" Target="https://www.rijksoverheid.nl/documenten/convenanten/2013/09/06/energieakkoord-voor-duurzame-groei" TargetMode="External"/><Relationship Id="rId91" Type="http://schemas.openxmlformats.org/officeDocument/2006/relationships/hyperlink" Target="https://www.doe.gov.ph/announcements/advisory-moratorium-endorsements-greenfield-coal-fired-power-projects-line-improving?ckattempt=1" TargetMode="External"/><Relationship Id="rId90" Type="http://schemas.openxmlformats.org/officeDocument/2006/relationships/hyperlink" Target="https://www.doe.gov.ph/announcements/advisory-moratorium-endorsements-greenfield-coal-fired-power-projects-line-improving?ckattempt=1%7Cen" TargetMode="External"/><Relationship Id="rId93" Type="http://schemas.openxmlformats.org/officeDocument/2006/relationships/hyperlink" Target="https://apcss.org/wp-content/uploads/2020/02/Philippines-National_Security_Strategy_2018.pdf" TargetMode="External"/><Relationship Id="rId92" Type="http://schemas.openxmlformats.org/officeDocument/2006/relationships/hyperlink" Target="https://nsc.gov.ph/attachments/article/NSP/NSP-2017-2022.pdf" TargetMode="External"/><Relationship Id="rId118" Type="http://schemas.openxmlformats.org/officeDocument/2006/relationships/hyperlink" Target="https://ec.europa.eu/energy/sites/ener/files/documents/pl_final_necp_summary_en.pdf" TargetMode="External"/><Relationship Id="rId117" Type="http://schemas.openxmlformats.org/officeDocument/2006/relationships/hyperlink" Target="http://prawo.sejm.gov.pl/isap.nsf/DocDetails.xsp?id=WDU20190002538" TargetMode="External"/><Relationship Id="rId116" Type="http://schemas.openxmlformats.org/officeDocument/2006/relationships/hyperlink" Target="http://prawo.sejm.gov.pl/isap.nsf/DocDetails.xsp?id=WDU20190002538%7Cpl" TargetMode="External"/><Relationship Id="rId115" Type="http://schemas.openxmlformats.org/officeDocument/2006/relationships/hyperlink" Target="http://prawo.sejm.gov.pl/isap.nsf/DocDetails.xsp?id=WDU20190002189" TargetMode="External"/><Relationship Id="rId119" Type="http://schemas.openxmlformats.org/officeDocument/2006/relationships/hyperlink" Target="https://ec.europa.eu/energy/sites/ener/files/documents/pl_final_necp_main_pl.pdf" TargetMode="External"/><Relationship Id="rId15" Type="http://schemas.openxmlformats.org/officeDocument/2006/relationships/hyperlink" Target="https://climate-laws.org/rails/active_storage/blobs/eyJfcmFpbHMiOnsibWVzc2FnZSI6IkJBaHBBaFVNIiwiZXhwIjpudWxsLCJwdXIiOiJibG9iX2lkIn19--bac3cdc9130808b6be4a2323ecee9903a2fee036/Brief+kabinetsvisie+waterstof+.pdf" TargetMode="External"/><Relationship Id="rId110" Type="http://schemas.openxmlformats.org/officeDocument/2006/relationships/hyperlink" Target="https://www.gov.pl/web/aktywa-panstwowe/elektromobilnosc-w-polsce" TargetMode="External"/><Relationship Id="rId14" Type="http://schemas.openxmlformats.org/officeDocument/2006/relationships/hyperlink" Target="https://climate-laws.org/rails/active_storage/blobs/eyJfcmFpbHMiOnsibWVzc2FnZSI6IkJBaHBBaFFNIiwiZXhwIjpudWxsLCJwdXIiOiJibG9iX2lkIn19--118aa0582fd5b4db5c988ec106e81583f5a01d03/Hydrogen-Strategy-TheNetherlands.pdf" TargetMode="External"/><Relationship Id="rId17" Type="http://schemas.openxmlformats.org/officeDocument/2006/relationships/hyperlink" Target="https://ec.europa.eu/energy/sites/ener/files/documents/nl_final_necp_main_nl.pdf" TargetMode="External"/><Relationship Id="rId16" Type="http://schemas.openxmlformats.org/officeDocument/2006/relationships/hyperlink" Target="https://ec.europa.eu/energy/sites/ener/files/documents/nl_final_necp_main_en.pdf" TargetMode="External"/><Relationship Id="rId19" Type="http://schemas.openxmlformats.org/officeDocument/2006/relationships/hyperlink" Target="http://www.legislation.govt.nz/act/public/2019/0061/latest/LMS183736.html" TargetMode="External"/><Relationship Id="rId114" Type="http://schemas.openxmlformats.org/officeDocument/2006/relationships/hyperlink" Target="http://prawo.sejm.gov.pl/isap.nsf/DocDetails.xsp?id=WDU20190002189%7Cpl" TargetMode="External"/><Relationship Id="rId18" Type="http://schemas.openxmlformats.org/officeDocument/2006/relationships/hyperlink" Target="https://climate-laws.org/rails/active_storage/blobs/eyJfcmFpbHMiOnsibWVzc2FnZSI6IkJBaHBBcGtHIiwiZXhwIjpudWxsLCJwdXIiOiJibG9iX2lkIn19--a085e5c6e37040e3f55851174c5b0d3c101b8028/f" TargetMode="External"/><Relationship Id="rId113" Type="http://schemas.openxmlformats.org/officeDocument/2006/relationships/hyperlink" Target="http://prawo.sejm.gov.pl/isap.nsf/download.xsp/WDU20200000183/T/D20200183L.pdf" TargetMode="External"/><Relationship Id="rId112" Type="http://schemas.openxmlformats.org/officeDocument/2006/relationships/hyperlink" Target="https://www.prawo.pl/akty/dz-u-2020-183,18953737.html" TargetMode="External"/><Relationship Id="rId111" Type="http://schemas.openxmlformats.org/officeDocument/2006/relationships/hyperlink" Target="https://climate-laws.org/rails/active_storage/blobs/eyJfcmFpbHMiOnsibWVzc2FnZSI6IkJBaHBBcnNMIiwiZXhwIjpudWxsLCJwdXIiOiJibG9iX2lkIn19--a3b72c9b510d4f4bf2944f809bcadca485fa3840/DIT_PRE_EN.pdf" TargetMode="External"/><Relationship Id="rId84" Type="http://schemas.openxmlformats.org/officeDocument/2006/relationships/hyperlink" Target="https://climate-laws.org/rails/active_storage/blobs/eyJfcmFpbHMiOnsibWVzc2FnZSI6IkJBaHBBdVVNIiwiZXhwIjpudWxsLCJwdXIiOiJibG9iX2lkIn19--15af386d4280bbcc68c977b8586b4d39d694d62f/2009%20EO%20785%20Mandating%20the%20PTFCC%20to%20develop%20the%20National%20Climate%20Change%20Framework.pdf" TargetMode="External"/><Relationship Id="rId83" Type="http://schemas.openxmlformats.org/officeDocument/2006/relationships/hyperlink" Target="https://climate-laws.org/rails/active_storage/blobs/eyJfcmFpbHMiOnsibWVzc2FnZSI6IkJBaHBBdllNIiwiZXhwIjpudWxsLCJwdXIiOiJibG9iX2lkIn19--964ed82602e8d1ed76f79e9201ba3b156fa23624/2016%20DoE%20DC%202016-07-0012%20Amended%20Biofuels%20Act%20of%202006%20IRR.pdf" TargetMode="External"/><Relationship Id="rId86" Type="http://schemas.openxmlformats.org/officeDocument/2006/relationships/hyperlink" Target="https://climate-laws.org/rails/active_storage/blobs/eyJfcmFpbHMiOnsibWVzc2FnZSI6IkJBaHBBdXNNIiwiZXhwIjpudWxsLCJwdXIiOiJibG9iX2lkIn19--38b3fb613927a944d2924b7ae99afd1285145c9d/2016%20Philippine%20Energy%20Plan%202016-2030(2).pdf" TargetMode="External"/><Relationship Id="rId85" Type="http://schemas.openxmlformats.org/officeDocument/2006/relationships/hyperlink" Target="https://lawphil.net/executive/execord/eo2008/eo_774_2008.html" TargetMode="External"/><Relationship Id="rId88" Type="http://schemas.openxmlformats.org/officeDocument/2006/relationships/hyperlink" Target="https://www.doe.gov.ph/press-releases/doe-sec-cusi-declares-moratorium-endorsements-greenfield-coal-power-plants?ckattempt=1%7Cen" TargetMode="External"/><Relationship Id="rId87" Type="http://schemas.openxmlformats.org/officeDocument/2006/relationships/hyperlink" Target="https://www.doe.gov.ph/sites/default/files/pdf/pep/Philippine%20Plan%202018-2040.pdf" TargetMode="External"/><Relationship Id="rId89" Type="http://schemas.openxmlformats.org/officeDocument/2006/relationships/hyperlink" Target="https://www.doe.gov.ph/press-releases/doe-sec-cusi-declares-moratorium-endorsements-greenfield-coal-power-plants?ckattempt=1" TargetMode="External"/><Relationship Id="rId80" Type="http://schemas.openxmlformats.org/officeDocument/2006/relationships/hyperlink" Target="https://climate-laws.org/rails/active_storage/blobs/eyJfcmFpbHMiOnsibWVzc2FnZSI6IkJBaHBBdk1NIiwiZXhwIjpudWxsLCJwdXIiOiJibG9iX2lkIn19--33046e18a3a399d644fe63c6d8a4c5c53f91059f/2016%20RA%2010745%20Amended%20Biofuels%20Act%20of%202006(1).docx" TargetMode="External"/><Relationship Id="rId82" Type="http://schemas.openxmlformats.org/officeDocument/2006/relationships/hyperlink" Target="https://climate-laws.org/rails/active_storage/blobs/eyJfcmFpbHMiOnsibWVzc2FnZSI6IkJBaHBBdlVNIiwiZXhwIjpudWxsLCJwdXIiOiJibG9iX2lkIn19--9a11c773695cffcf195c666a59f9cd193fd82772/2011%20DoE%20DC%202011-02-0001%20Mandatory%20Use%20of%20Biofuel%20Blend.pdf" TargetMode="External"/><Relationship Id="rId81" Type="http://schemas.openxmlformats.org/officeDocument/2006/relationships/hyperlink" Target="https://climate-laws.org/rails/active_storage/blobs/eyJfcmFpbHMiOnsibWVzc2FnZSI6IkJBaHBBdlFNIiwiZXhwIjpudWxsLCJwdXIiOiJibG9iX2lkIn19--c4e49d74ada8b950783da707c0492e3fa17ba5c4/2007%20DoE%20DC%202007-05-0006%20Biofuels%20Act%20IRR.pdf" TargetMode="External"/><Relationship Id="rId1" Type="http://schemas.openxmlformats.org/officeDocument/2006/relationships/hyperlink" Target="https://climate-laws.org/rails/active_storage/blobs/eyJfcmFpbHMiOnsibWVzc2FnZSI6IkJBaHBBc0FHIiwiZXhwIjpudWxsLCJwdXIiOiJibG9iX2lkIn19--77e50ec739aea2ed7233eec6bb1be92f18344800/f" TargetMode="External"/><Relationship Id="rId2" Type="http://schemas.openxmlformats.org/officeDocument/2006/relationships/hyperlink" Target="https://climate-laws.org/rails/active_storage/blobs/eyJfcmFpbHMiOnsibWVzc2FnZSI6IkJBaHBBcHNLIiwiZXhwIjpudWxsLCJwdXIiOiJibG9iX2lkIn19--c14b004fcd02b2ac760a6ba9500e320d4bcc284b/1497%20English%20summary.pdf" TargetMode="External"/><Relationship Id="rId3" Type="http://schemas.openxmlformats.org/officeDocument/2006/relationships/hyperlink" Target="https://climate-laws.org/rails/active_storage/blobs/eyJfcmFpbHMiOnsibWVzc2FnZSI6IkJBaHBBaklKIiwiZXhwIjpudWxsLCJwdXIiOiJibG9iX2lkIn19--ca09df14e56864527e2b3e032481e0cb09170053/f" TargetMode="External"/><Relationship Id="rId4" Type="http://schemas.openxmlformats.org/officeDocument/2006/relationships/hyperlink" Target="https://climate-laws.org/rails/active_storage/blobs/eyJfcmFpbHMiOnsibWVzc2FnZSI6IkJBaHBBcHdLIiwiZXhwIjpudWxsLCJwdXIiOiJibG9iX2lkIn19--b98bdfe375a1de90a1bc7ced716df36f2dde63c3/1499%20English%20summary.pdf" TargetMode="External"/><Relationship Id="rId9" Type="http://schemas.openxmlformats.org/officeDocument/2006/relationships/hyperlink" Target="https://www.eerstekamer.nl/nieuws/20190528/klimaatwet_aangenomen_door_eerste" TargetMode="External"/><Relationship Id="rId5" Type="http://schemas.openxmlformats.org/officeDocument/2006/relationships/hyperlink" Target="https://climate-laws.org/rails/active_storage/blobs/eyJfcmFpbHMiOnsibWVzc2FnZSI6IkJBaHBBakFKIiwiZXhwIjpudWxsLCJwdXIiOiJibG9iX2lkIn19--ae2fa5691e0a281e19a9df8c4938eaf3d20bb177/f" TargetMode="External"/><Relationship Id="rId6" Type="http://schemas.openxmlformats.org/officeDocument/2006/relationships/hyperlink" Target="https://wetten.overheid.nl/BWBR0003245/2020-07-01" TargetMode="External"/><Relationship Id="rId7" Type="http://schemas.openxmlformats.org/officeDocument/2006/relationships/hyperlink" Target="https://climate-laws.org/rails/active_storage/blobs/eyJfcmFpbHMiOnsibWVzc2FnZSI6IkJBaHBBaTRKIiwiZXhwIjpudWxsLCJwdXIiOiJibG9iX2lkIn19--4ca1983a38474631921e1e384fc7bfd187a28ece/f" TargetMode="External"/><Relationship Id="rId8" Type="http://schemas.openxmlformats.org/officeDocument/2006/relationships/hyperlink" Target="https://climate-laws.org/rails/active_storage/blobs/eyJfcmFpbHMiOnsibWVzc2FnZSI6IkJBaHBBaThKIiwiZXhwIjpudWxsLCJwdXIiOiJibG9iX2lkIn19--b8adb582f27888572ab7c514ff8fe8d4e6ae753c/f" TargetMode="External"/><Relationship Id="rId73" Type="http://schemas.openxmlformats.org/officeDocument/2006/relationships/hyperlink" Target="https://cdn.www.gob.pe/uploads/document/file/2039629/Estrategia_ProREST_vf_21_07_2021FF_1F_2.pdf.pdf" TargetMode="External"/><Relationship Id="rId72" Type="http://schemas.openxmlformats.org/officeDocument/2006/relationships/hyperlink" Target="https://climate-laws.org/rails/active_storage/blobs/eyJfcmFpbHMiOnsibWVzc2FnZSI6IkJBaHBBclFGIiwiZXhwIjpudWxsLCJwdXIiOiJibG9iX2lkIn19--bdaaa4f086a80cf91b19bf0e4514ff9d06f43845/f" TargetMode="External"/><Relationship Id="rId75" Type="http://schemas.openxmlformats.org/officeDocument/2006/relationships/hyperlink" Target="https://climate-laws.org/rails/active_storage/blobs/eyJfcmFpbHMiOnsibWVzc2FnZSI6IkJBaHBBbzBHIiwiZXhwIjpudWxsLCJwdXIiOiJibG9iX2lkIn19--80bbdf505f7eef690fe77f2ecc89bdc20507b2f3/f" TargetMode="External"/><Relationship Id="rId74" Type="http://schemas.openxmlformats.org/officeDocument/2006/relationships/hyperlink" Target="https://climate-laws.org/rails/active_storage/blobs/eyJfcmFpbHMiOnsibWVzc2FnZSI6IkJBaHBBamNPIiwiZXhwIjpudWxsLCJwdXIiOiJibG9iX2lkIn19--a97a8259cef5eefe4104c31c1a911fdd866adf25/R.%20M.%20N%C2%B0%200338-2020-MIDAGRI.pdf" TargetMode="External"/><Relationship Id="rId77" Type="http://schemas.openxmlformats.org/officeDocument/2006/relationships/hyperlink" Target="https://climate-laws.org/rails/active_storage/blobs/eyJfcmFpbHMiOnsibWVzc2FnZSI6IkJBaHBBZ2tKIiwiZXhwIjpudWxsLCJwdXIiOiJibG9iX2lkIn19--46418d090212aeddd7315539e3a0805bf3d2293e/f" TargetMode="External"/><Relationship Id="rId76" Type="http://schemas.openxmlformats.org/officeDocument/2006/relationships/hyperlink" Target="https://climate-laws.org/rails/active_storage/blobs/eyJfcmFpbHMiOnsibWVzc2FnZSI6IkJBaHBBbzRHIiwiZXhwIjpudWxsLCJwdXIiOiJibG9iX2lkIn19--321e8ab05896fc734ba2c79b4e7d49eb07f84809/f" TargetMode="External"/><Relationship Id="rId79" Type="http://schemas.openxmlformats.org/officeDocument/2006/relationships/hyperlink" Target="https://climate-laws.org/rails/active_storage/blobs/eyJfcmFpbHMiOnsibWVzc2FnZSI6IkJBaHBBZ2NKIiwiZXhwIjpudWxsLCJwdXIiOiJibG9iX2lkIn19--e818b07784c3dd8f643fbf51153089e9083fff31/f" TargetMode="External"/><Relationship Id="rId78" Type="http://schemas.openxmlformats.org/officeDocument/2006/relationships/hyperlink" Target="https://climate-laws.org/rails/active_storage/blobs/eyJfcmFpbHMiOnsibWVzc2FnZSI6IkJBaHBBdWtNIiwiZXhwIjpudWxsLCJwdXIiOiJibG9iX2lkIn19--9d9f9c4f5e170d8aca80ba9a3f57f0bea080c0af/2015%20DoE%20DC%202015-07-0014%20Renewable%20Energy%20Share%20in%20Installed%20Capacity%20Circular.pdf" TargetMode="External"/><Relationship Id="rId71" Type="http://schemas.openxmlformats.org/officeDocument/2006/relationships/hyperlink" Target="https://climate-laws.org/rails/active_storage/blobs/eyJfcmFpbHMiOnsibWVzc2FnZSI6IkJBaHBBck1GIiwiZXhwIjpudWxsLCJwdXIiOiJibG9iX2lkIn19--ed7fbaff43ed2098d732f2dc444041cb99e80ca1/f" TargetMode="External"/><Relationship Id="rId70" Type="http://schemas.openxmlformats.org/officeDocument/2006/relationships/hyperlink" Target="https://busquedas.elperuano.pe/normaslegales/decreto-supremo-que-aprueba-el-reglamento-de-la-ley-n-30754-decreto-supremo-n-013-2019-minam-1842032-2/" TargetMode="External"/><Relationship Id="rId62" Type="http://schemas.openxmlformats.org/officeDocument/2006/relationships/hyperlink" Target="https://climate-laws.org/rails/active_storage/blobs/eyJfcmFpbHMiOnsibWVzc2FnZSI6IkJBaHBBaE1KIiwiZXhwIjpudWxsLCJwdXIiOiJibG9iX2lkIn19--74b0ea430489912faac50b48b1cce2ad450ce417/f" TargetMode="External"/><Relationship Id="rId61" Type="http://schemas.openxmlformats.org/officeDocument/2006/relationships/hyperlink" Target="https://redd.unfccc.int/files/estrategia_nacional_bosques_para_el_crecimiento_sostenible.pdf" TargetMode="External"/><Relationship Id="rId64" Type="http://schemas.openxmlformats.org/officeDocument/2006/relationships/hyperlink" Target="https://climate-laws.org/rails/active_storage/blobs/eyJfcmFpbHMiOnsibWVzc2FnZSI6IkJBaHBBaEFKIiwiZXhwIjpudWxsLCJwdXIiOiJibG9iX2lkIn19--bda292a320ec0001f797c9e275583279a17e19df/f" TargetMode="External"/><Relationship Id="rId63" Type="http://schemas.openxmlformats.org/officeDocument/2006/relationships/hyperlink" Target="https://climate-laws.org/rails/active_storage/blobs/eyJfcmFpbHMiOnsibWVzc2FnZSI6IkJBaHBBaFFKIiwiZXhwIjpudWxsLCJwdXIiOiJibG9iX2lkIn19--8417347a1dc2389c552a5ae8326a7f4eb943c752/f" TargetMode="External"/><Relationship Id="rId66" Type="http://schemas.openxmlformats.org/officeDocument/2006/relationships/hyperlink" Target="https://climate-laws.org/rails/active_storage/blobs/eyJfcmFpbHMiOnsibWVzc2FnZSI6IkJBaHBBbDRJIiwiZXhwIjpudWxsLCJwdXIiOiJibG9iX2lkIn19--b97157d50beea6616d903506f4c0227d5969d07a/f" TargetMode="External"/><Relationship Id="rId65" Type="http://schemas.openxmlformats.org/officeDocument/2006/relationships/hyperlink" Target="https://climate-laws.org/rails/active_storage/blobs/eyJfcmFpbHMiOnsibWVzc2FnZSI6IkJBaHBBaEVKIiwiZXhwIjpudWxsLCJwdXIiOiJibG9iX2lkIn19--6858d42644654648e77233e3fec6a8009fadbc53/f" TargetMode="External"/><Relationship Id="rId68" Type="http://schemas.openxmlformats.org/officeDocument/2006/relationships/hyperlink" Target="https://www.gob.pe/institucion/minam/campa%C3%B1as/3453-estrategia-nacional-ante-el-cambio-climatico-al-2050" TargetMode="External"/><Relationship Id="rId67" Type="http://schemas.openxmlformats.org/officeDocument/2006/relationships/hyperlink" Target="https://climate-laws.org/rails/active_storage/blobs/eyJfcmFpbHMiOnsibWVzc2FnZSI6IkJBaHBBbDhJIiwiZXhwIjpudWxsLCJwdXIiOiJibG9iX2lkIn19--236f693a1d8dc8ec468a8692149ec514b1915b27/f" TargetMode="External"/><Relationship Id="rId60" Type="http://schemas.openxmlformats.org/officeDocument/2006/relationships/hyperlink" Target="http://www.mades.gov.py/2019/06/04/mades-aprueba-la-estrategia-nacional-de-bosques-para-el-crecimiento-sostenible/" TargetMode="External"/><Relationship Id="rId69" Type="http://schemas.openxmlformats.org/officeDocument/2006/relationships/hyperlink" Target="http://www.lse.ac.uk/GranthamInstitute/wp-content/uploads/2018/04/1638161-1.pdf" TargetMode="External"/><Relationship Id="rId51" Type="http://schemas.openxmlformats.org/officeDocument/2006/relationships/hyperlink" Target="https://www.regjeringen.no/contentassets/202fec60ac844d4ca7d53d65b6b9ac9c/alle-regjeringa-vil-punkt-i-meldinga.pdf" TargetMode="External"/><Relationship Id="rId50" Type="http://schemas.openxmlformats.org/officeDocument/2006/relationships/hyperlink" Target="https://www.regjeringen.no/en/aktuelt/heilskapeleg-plan-for-a-na-klimamalet/id2827600/" TargetMode="External"/><Relationship Id="rId53" Type="http://schemas.openxmlformats.org/officeDocument/2006/relationships/hyperlink" Target="https://isfu.gov.om/2040/Vision_Documents_En.pdf" TargetMode="External"/><Relationship Id="rId52" Type="http://schemas.openxmlformats.org/officeDocument/2006/relationships/hyperlink" Target="http://extwprlegs1.fao.org/docs/pdf/oma201987.pdf" TargetMode="External"/><Relationship Id="rId55" Type="http://schemas.openxmlformats.org/officeDocument/2006/relationships/hyperlink" Target="https://www.gacetaoficial.gob.pa/pdfTemp/28397_C/64285.pdf" TargetMode="External"/><Relationship Id="rId54" Type="http://schemas.openxmlformats.org/officeDocument/2006/relationships/hyperlink" Target="https://climate-laws.org/rails/active_storage/blobs/eyJfcmFpbHMiOnsibWVzc2FnZSI6IkJBaHBBdkFGIiwiZXhwIjpudWxsLCJwdXIiOiJibG9iX2lkIn19--4ee8702fdb83b8b08e9e70fd78048168434f332c/f" TargetMode="External"/><Relationship Id="rId57" Type="http://schemas.openxmlformats.org/officeDocument/2006/relationships/hyperlink" Target="https://climate-laws.org/rails/active_storage/blobs/eyJfcmFpbHMiOnsibWVzc2FnZSI6IkJBaHBBaDROIiwiZXhwIjpudWxsLCJwdXIiOiJibG9iX2lkIn19--8766c6b890d9bc810699cc595c13b924a90eb960/GacetStrat.pdf" TargetMode="External"/><Relationship Id="rId56" Type="http://schemas.openxmlformats.org/officeDocument/2006/relationships/hyperlink" Target="https://climate-laws.org/rails/active_storage/blobs/eyJfcmFpbHMiOnsibWVzc2FnZSI6IkJBaHBBaDBOIiwiZXhwIjpudWxsLCJwdXIiOiJibG9iX2lkIn19--38b8fc3035a1eb1c86f76ad93a35fd5735b16fb3/GacetaNo_28891c_20191028.pdf" TargetMode="External"/><Relationship Id="rId59" Type="http://schemas.openxmlformats.org/officeDocument/2006/relationships/hyperlink" Target="https://www.pa.undp.org/content/panama/es/home/library/environment_energy/estrategia-nacional-de-cambio-climatico-2050.html" TargetMode="External"/><Relationship Id="rId58" Type="http://schemas.openxmlformats.org/officeDocument/2006/relationships/hyperlink" Target="http://extwprlegs1.fao.org/docs/pdf/pan190115.pdf"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40" Type="http://schemas.openxmlformats.org/officeDocument/2006/relationships/hyperlink" Target="https://www.industry.gov.au/data-and-publications/australias-national-hydrogen-strategy" TargetMode="External"/><Relationship Id="rId42" Type="http://schemas.openxmlformats.org/officeDocument/2006/relationships/hyperlink" Target="https://www.industry.gov.au/sites/default/files/October%202021/document/australias-long-term-emissions-reduction-plan.pdf" TargetMode="External"/><Relationship Id="rId41" Type="http://schemas.openxmlformats.org/officeDocument/2006/relationships/hyperlink" Target="https://www.industry.gov.au/sites/default/files/2019-11/australias-national-hydrogen-strategy.pdf" TargetMode="External"/><Relationship Id="rId44" Type="http://schemas.openxmlformats.org/officeDocument/2006/relationships/hyperlink" Target="https://www.industry.gov.au/data-and-publications/technology-investment-roadmap" TargetMode="External"/><Relationship Id="rId43" Type="http://schemas.openxmlformats.org/officeDocument/2006/relationships/hyperlink" Target="https://www.industry.gov.au/sites/default/files/October%202021/document/the-plan-to-deliver-net-zero-the-australian-way.pdf" TargetMode="External"/><Relationship Id="rId46" Type="http://schemas.openxmlformats.org/officeDocument/2006/relationships/hyperlink" Target="https://www.industry.gov.au/sites/default/files/September%202020/document/first-low-emissions-technology-statement-2020.pdf" TargetMode="External"/><Relationship Id="rId45" Type="http://schemas.openxmlformats.org/officeDocument/2006/relationships/hyperlink" Target="https://www.industry.gov.au/sites/default/files/November%202021/document/low-emissions-technology-statement-2021.pdf" TargetMode="External"/><Relationship Id="rId107" Type="http://schemas.openxmlformats.org/officeDocument/2006/relationships/hyperlink" Target="https://climate-laws.org/rails/active_storage/blobs/eyJfcmFpbHMiOnsibWVzc2FnZSI6IkJBaHBBZ01GIiwiZXhwIjpudWxsLCJwdXIiOiJibG9iX2lkIn19--66cc054f6b76ee9550796ce7972012ccbb279606/f" TargetMode="External"/><Relationship Id="rId106" Type="http://schemas.openxmlformats.org/officeDocument/2006/relationships/hyperlink" Target="https://climate-laws.org/rails/active_storage/blobs/eyJfcmFpbHMiOnsibWVzc2FnZSI6IkJBaHBBZ0lGIiwiZXhwIjpudWxsLCJwdXIiOiJibG9iX2lkIn19--087b099196849691fc3b308a7386e78c2f603ec3/f" TargetMode="External"/><Relationship Id="rId105" Type="http://schemas.openxmlformats.org/officeDocument/2006/relationships/hyperlink" Target="https://climate-laws.org/rails/active_storage/blobs/eyJfcmFpbHMiOnsibWVzc2FnZSI6IkJBaHBBdUFPIiwiZXhwIjpudWxsLCJwdXIiOiJibG9iX2lkIn19--49d3a6a53dc372f9357a5c3777921849d6c870c7/Portaria%20n%20121-2011.pdf" TargetMode="External"/><Relationship Id="rId104" Type="http://schemas.openxmlformats.org/officeDocument/2006/relationships/hyperlink" Target="https://climate-laws.org/rails/active_storage/blobs/eyJfcmFpbHMiOnsibWVzc2FnZSI6IkJBaHBBcTBGIiwiZXhwIjpudWxsLCJwdXIiOiJibG9iX2lkIn19--2408401c1df9166fc3de6db086808aa54041c5f5/f" TargetMode="External"/><Relationship Id="rId109" Type="http://schemas.openxmlformats.org/officeDocument/2006/relationships/hyperlink" Target="https://climate-laws.org/rails/active_storage/blobs/eyJfcmFpbHMiOnsibWVzc2FnZSI6IkJBaHBBZ0VGIiwiZXhwIjpudWxsLCJwdXIiOiJibG9iX2lkIn19--f0039d5fd063c26edc4d1e6159c2e8466179da6e/f" TargetMode="External"/><Relationship Id="rId108" Type="http://schemas.openxmlformats.org/officeDocument/2006/relationships/hyperlink" Target="https://www.in.gov.br/web/guest/materia/-/asset_publisher/Kujrw0TZC2Mb/content/id/22804297/do1-2016-05-11-portaria-n-150-de-10-de-maio-de-2016-22804223" TargetMode="External"/><Relationship Id="rId48" Type="http://schemas.openxmlformats.org/officeDocument/2006/relationships/hyperlink" Target="https://www.ris.bka.gv.at/GeltendeFassung.wxe?Abfrage=Bundesnormen&amp;Gesetzesnummer=20007500" TargetMode="External"/><Relationship Id="rId47" Type="http://schemas.openxmlformats.org/officeDocument/2006/relationships/hyperlink" Target="https://www.ris.bka.gv.at/GeltendeFassung.wxe?Abfrage=Bundesnormen&amp;Gesetzesnummer=20007500%7Cde" TargetMode="External"/><Relationship Id="rId49" Type="http://schemas.openxmlformats.org/officeDocument/2006/relationships/hyperlink" Target="https://rdb.manz.at/document/ris.c.BGBl__I_Nr__58_2017" TargetMode="External"/><Relationship Id="rId103" Type="http://schemas.openxmlformats.org/officeDocument/2006/relationships/hyperlink" Target="http://www.in.gov.br/en/web/dou/-/portaria-n-288-de-2-de-julho-de-2020-264916875" TargetMode="External"/><Relationship Id="rId102" Type="http://schemas.openxmlformats.org/officeDocument/2006/relationships/hyperlink" Target="http://www.planalto.gov.br/ccivil_03/_Ato2011-2014/2012/Lei/L12651.htm" TargetMode="External"/><Relationship Id="rId101" Type="http://schemas.openxmlformats.org/officeDocument/2006/relationships/hyperlink" Target="https://www.normasbrasil.com.br/norma/resolucao-9-2009_111350.html" TargetMode="External"/><Relationship Id="rId100" Type="http://schemas.openxmlformats.org/officeDocument/2006/relationships/hyperlink" Target="https://www.gov.br/mcti/pt-br/acompanhe-o-mcti/cgcl/clima/arquivos/autoridade-nacional-designada-para-o-mdl/resolucao-no-1-de-11-de-setembro-de-2003.pdf" TargetMode="External"/><Relationship Id="rId31" Type="http://schemas.openxmlformats.org/officeDocument/2006/relationships/hyperlink" Target="https://climate-laws.org/rails/active_storage/blobs/eyJfcmFpbHMiOnsibWVzc2FnZSI6IkJBaHBBblVHIiwiZXhwIjpudWxsLCJwdXIiOiJibG9iX2lkIn19--e79574bc216e716dd387789879b72db2b155c6d3/f" TargetMode="External"/><Relationship Id="rId30" Type="http://schemas.openxmlformats.org/officeDocument/2006/relationships/hyperlink" Target="https://climate-laws.org/rails/active_storage/blobs/eyJfcmFpbHMiOnsibWVzc2FnZSI6IkJBaHBBblFHIiwiZXhwIjpudWxsLCJwdXIiOiJibG9iX2lkIn19--2948f48509633f5c3cf72424bddee0d31629686b/f" TargetMode="External"/><Relationship Id="rId33" Type="http://schemas.openxmlformats.org/officeDocument/2006/relationships/hyperlink" Target="https://mineconomy.am/media/10032/MijocarumneriTsragir_Angleren.pdf" TargetMode="External"/><Relationship Id="rId32" Type="http://schemas.openxmlformats.org/officeDocument/2006/relationships/hyperlink" Target="https://mineconomy.am/media/10033/Razmavarutyun_Hamarotagir_Angleren.pdf" TargetMode="External"/><Relationship Id="rId35" Type="http://schemas.openxmlformats.org/officeDocument/2006/relationships/hyperlink" Target="https://climate-laws.org/rails/active_storage/blobs/eyJfcmFpbHMiOnsibWVzc2FnZSI6IkJBaHBBdndPIiwiZXhwIjpudWxsLCJwdXIiOiJibG9iX2lkIn19--ad71c00fbef290008dde44f9ab83c5603ed08dfe/CC%20Council_PM%20Decree%20%23719-A_06JUL2021_eng.docx" TargetMode="External"/><Relationship Id="rId34" Type="http://schemas.openxmlformats.org/officeDocument/2006/relationships/hyperlink" Target="http://extwprlegs1.fao.org/docs/pdf/arm137939E.pdf" TargetMode="External"/><Relationship Id="rId37" Type="http://schemas.openxmlformats.org/officeDocument/2006/relationships/hyperlink" Target="https://www.industry.gov.au/funding-and-incentives/emissions-reduction-fund" TargetMode="External"/><Relationship Id="rId36" Type="http://schemas.openxmlformats.org/officeDocument/2006/relationships/hyperlink" Target="https://www.legislation.gov.au/Details/C2016C00155" TargetMode="External"/><Relationship Id="rId39" Type="http://schemas.openxmlformats.org/officeDocument/2006/relationships/hyperlink" Target="https://climate-laws.org/rails/active_storage/blobs/eyJfcmFpbHMiOnsibWVzc2FnZSI6IkJBaHBBcTRGIiwiZXhwIjpudWxsLCJwdXIiOiJibG9iX2lkIn19--59d4f83953dc755ab21df179007c460088e57a4a/f" TargetMode="External"/><Relationship Id="rId38" Type="http://schemas.openxmlformats.org/officeDocument/2006/relationships/hyperlink" Target="https://www.environment.gov.au/system/files/resources/d98b3e53-146b-4b9c-a84a-2a22454b9a83/files/reef-2050-long-term-sustainability-plan.pdf" TargetMode="External"/><Relationship Id="rId20" Type="http://schemas.openxmlformats.org/officeDocument/2006/relationships/hyperlink" Target="https://climate-laws.org/rails/active_storage/blobs/eyJfcmFpbHMiOnsibWVzc2FnZSI6IkJBaHBBcWtHIiwiZXhwIjpudWxsLCJwdXIiOiJibG9iX2lkIn19--29e15c091b652fc37c713c641d195b5fa9884456/f" TargetMode="External"/><Relationship Id="rId22" Type="http://schemas.openxmlformats.org/officeDocument/2006/relationships/hyperlink" Target="https://climate-laws.org/rails/active_storage/blobs/eyJfcmFpbHMiOnsibWVzc2FnZSI6IkJBaHBBZ2NGIiwiZXhwIjpudWxsLCJwdXIiOiJibG9iX2lkIn19--c761d667f889063f0464fa8a1a0fd98495b53dee/f" TargetMode="External"/><Relationship Id="rId21" Type="http://schemas.openxmlformats.org/officeDocument/2006/relationships/hyperlink" Target="https://climate-laws.org/rails/active_storage/blobs/eyJfcmFpbHMiOnsibWVzc2FnZSI6IkJBaHBBZ1lGIiwiZXhwIjpudWxsLCJwdXIiOiJibG9iX2lkIn19--6b14d714abf250a5e5b0871c0542bf1b7d52cdce/f" TargetMode="External"/><Relationship Id="rId24" Type="http://schemas.openxmlformats.org/officeDocument/2006/relationships/hyperlink" Target="https://climate-laws.org/rails/active_storage/blobs/eyJfcmFpbHMiOnsibWVzc2FnZSI6IkJBaHBBdGNLIiwiZXhwIjpudWxsLCJwdXIiOiJibG9iX2lkIn19--34d2e8e4f4d64d5a415ef712cad18ab7e79a0665/2007%20(2).pdf" TargetMode="External"/><Relationship Id="rId23" Type="http://schemas.openxmlformats.org/officeDocument/2006/relationships/hyperlink" Target="https://climate-laws.org/rails/active_storage/blobs/eyJfcmFpbHMiOnsibWVzc2FnZSI6IkJBaHBBaUFJIiwiZXhwIjpudWxsLCJwdXIiOiJibG9iX2lkIn19--54965c8a86b93863b75bd0c9dafd230d26974a5d/f" TargetMode="External"/><Relationship Id="rId129" Type="http://schemas.openxmlformats.org/officeDocument/2006/relationships/vmlDrawing" Target="../drawings/vmlDrawing1.vml"/><Relationship Id="rId128" Type="http://schemas.openxmlformats.org/officeDocument/2006/relationships/drawing" Target="../drawings/drawing13.xml"/><Relationship Id="rId127" Type="http://schemas.openxmlformats.org/officeDocument/2006/relationships/hyperlink" Target="https://climate-laws.org/rails/active_storage/blobs/eyJfcmFpbHMiOnsibWVzc2FnZSI6IkJBaHBBdDhPIiwiZXhwIjpudWxsLCJwdXIiOiJibG9iX2lkIn19--7b603057503b4ff3a470c27e0a6759cc6579606f/Programa-Lixao-Zero.pdf" TargetMode="External"/><Relationship Id="rId126" Type="http://schemas.openxmlformats.org/officeDocument/2006/relationships/hyperlink" Target="http://www.planalto.gov.br/ccivil_03/_Ato2019-2022/2022/Decreto/D10936.htm" TargetMode="External"/><Relationship Id="rId26" Type="http://schemas.openxmlformats.org/officeDocument/2006/relationships/hyperlink" Target="https://climate-laws.org/rails/active_storage/blobs/eyJfcmFpbHMiOnsibWVzc2FnZSI6IkJBaHBBaDhJIiwiZXhwIjpudWxsLCJwdXIiOiJibG9iX2lkIn19--60f7eef4bcbe53d7ecb81be2309e2adf5c01e2f3/f" TargetMode="External"/><Relationship Id="rId121" Type="http://schemas.openxmlformats.org/officeDocument/2006/relationships/hyperlink" Target="https://www.rota2030.com.br/" TargetMode="External"/><Relationship Id="rId25" Type="http://schemas.openxmlformats.org/officeDocument/2006/relationships/hyperlink" Target="https://www.argentina.gob.ar/normativa/nacional/decreto-531-2016-259883" TargetMode="External"/><Relationship Id="rId120" Type="http://schemas.openxmlformats.org/officeDocument/2006/relationships/hyperlink" Target="http://www.planalto.gov.br/ccivil_03/_ato2015-2018/2018/lei/L13755.htm" TargetMode="External"/><Relationship Id="rId28" Type="http://schemas.openxmlformats.org/officeDocument/2006/relationships/hyperlink" Target="https://www.boletinoficial.gob.ar/detalleAviso/primera/211142/20190711" TargetMode="External"/><Relationship Id="rId27" Type="http://schemas.openxmlformats.org/officeDocument/2006/relationships/hyperlink" Target="https://climate-laws.org/rails/active_storage/blobs/eyJfcmFpbHMiOnsibWVzc2FnZSI6IkJBaHBBdGdLIiwiZXhwIjpudWxsLCJwdXIiOiJibG9iX2lkIn19--0714e2aae7f870680c357364a997ba54a63b5ef7/2008%20(2).pdf" TargetMode="External"/><Relationship Id="rId125" Type="http://schemas.openxmlformats.org/officeDocument/2006/relationships/hyperlink" Target="http://www.planalto.gov.br/ccivil_03/_Ato2019-2022/2022/Decreto/D10936.htm" TargetMode="External"/><Relationship Id="rId29" Type="http://schemas.openxmlformats.org/officeDocument/2006/relationships/hyperlink" Target="https://www.boletinoficial.gob.ar/detalleAviso/primera/213104/20190808" TargetMode="External"/><Relationship Id="rId124" Type="http://schemas.openxmlformats.org/officeDocument/2006/relationships/hyperlink" Target="http://www.planalto.gov.br/ccivil_03/_ato2007-2010/2010/lei/l12305.htm" TargetMode="External"/><Relationship Id="rId123" Type="http://schemas.openxmlformats.org/officeDocument/2006/relationships/hyperlink" Target="http://www.ibama.gov.br/sophia/cnia/legislacao/IBAMA/IN0012-231110.PDF" TargetMode="External"/><Relationship Id="rId122" Type="http://schemas.openxmlformats.org/officeDocument/2006/relationships/hyperlink" Target="http://www.planalto.gov.br/ccivil_03/_ato2015-2018/2017/decreto/D9172.htm" TargetMode="External"/><Relationship Id="rId95" Type="http://schemas.openxmlformats.org/officeDocument/2006/relationships/hyperlink" Target="https://www.epe.gov.br/sites-pt/publicacoes-dados-abertos/publicacoes/PublicacoesArquivos/publicacao-227/topico-563/PNE%202050%20-%20Anexo.pdf" TargetMode="External"/><Relationship Id="rId94" Type="http://schemas.openxmlformats.org/officeDocument/2006/relationships/hyperlink" Target="https://climate-laws.org/rails/active_storage/blobs/eyJfcmFpbHMiOnsibWVzc2FnZSI6IkJBaHBBcGNJIiwiZXhwIjpudWxsLCJwdXIiOiJibG9iX2lkIn19--64b4ce2c717e6c3b97e2623c6a470020d07e5b67/f" TargetMode="External"/><Relationship Id="rId97" Type="http://schemas.openxmlformats.org/officeDocument/2006/relationships/hyperlink" Target="http://www.lse.ac.uk/GranthamInstitute/wp-content/uploads/laws/1100.pdf" TargetMode="External"/><Relationship Id="rId96" Type="http://schemas.openxmlformats.org/officeDocument/2006/relationships/hyperlink" Target="https://www.epe.gov.br/sites-pt/publicacoes-dados-abertos/publicacoes/PublicacoesArquivos/publicacao-227/topico-563/Relatorio%20Final%20do%20PNE%202050.pdf" TargetMode="External"/><Relationship Id="rId11" Type="http://schemas.openxmlformats.org/officeDocument/2006/relationships/hyperlink" Target="https://www.bopa.ad/bopa/032029/Pagines/GD20200312_15_02_09.aspx" TargetMode="External"/><Relationship Id="rId99" Type="http://schemas.openxmlformats.org/officeDocument/2006/relationships/hyperlink" Target="https://climate-laws.org/rails/active_storage/blobs/eyJfcmFpbHMiOnsibWVzc2FnZSI6IkJBaHBBbEFKIiwiZXhwIjpudWxsLCJwdXIiOiJibG9iX2lkIn19--9e999067a6d1999afdaea16eed6c083989864887/f" TargetMode="External"/><Relationship Id="rId10" Type="http://schemas.openxmlformats.org/officeDocument/2006/relationships/hyperlink" Target="https://www.bopa.ad/bopa/031059/Pagines/GD20190628_09_11_13.aspx" TargetMode="External"/><Relationship Id="rId98" Type="http://schemas.openxmlformats.org/officeDocument/2006/relationships/hyperlink" Target="https://climate-laws.org/rails/active_storage/blobs/eyJfcmFpbHMiOnsibWVzc2FnZSI6IkJBaHBBbmNLIiwiZXhwIjpudWxsLCJwdXIiOiJibG9iX2lkIn19--2858836d66a34b3a9dbbabde81d1c42775af3b4f/1100regulation.pdf" TargetMode="External"/><Relationship Id="rId13" Type="http://schemas.openxmlformats.org/officeDocument/2006/relationships/hyperlink" Target="https://www.bopa.ad/bopa/028067/Pagines/CGL20161109_11_13_11.aspx" TargetMode="External"/><Relationship Id="rId12" Type="http://schemas.openxmlformats.org/officeDocument/2006/relationships/hyperlink" Target="http://www.consellgeneral.ad/ca/arxiu/arxiu-de-lleis-i-textos-aprovats-en-legislatures-anteriors/vii-legislatura-2015-2019/copy_of_lleis-aprovades/llei-4-2016-del-10-de-marc-de-foment-del-vehicle-electric" TargetMode="External"/><Relationship Id="rId91" Type="http://schemas.openxmlformats.org/officeDocument/2006/relationships/hyperlink" Target="https://climate-laws.org/rails/active_storage/blobs/eyJfcmFpbHMiOnsibWVzc2FnZSI6IkJBaHBBblVLIiwiZXhwIjpudWxsLCJwdXIiOiJibG9iX2lkIn19--8e06554a36c876c0a25fffed93c93cf63dc90f6a/1093regulation.pdf" TargetMode="External"/><Relationship Id="rId90" Type="http://schemas.openxmlformats.org/officeDocument/2006/relationships/hyperlink" Target="http://www.lse.ac.uk/GranthamInstitute/wp-content/uploads/laws/1093.pdf" TargetMode="External"/><Relationship Id="rId93" Type="http://schemas.openxmlformats.org/officeDocument/2006/relationships/hyperlink" Target="https://climate-laws.org/rails/active_storage/blobs/eyJfcmFpbHMiOnsibWVzc2FnZSI6IkJBaHBBbllLIiwiZXhwIjpudWxsLCJwdXIiOiJibG9iX2lkIn19--b2fe4e021fa77bb2feed25a66846f9c2dc233c99/1094officialENGsummary.pdf" TargetMode="External"/><Relationship Id="rId92" Type="http://schemas.openxmlformats.org/officeDocument/2006/relationships/hyperlink" Target="https://climate-laws.org/rails/active_storage/blobs/eyJfcmFpbHMiOnsibWVzc2FnZSI6IkJBaHBBcGdHIiwiZXhwIjpudWxsLCJwdXIiOiJibG9iX2lkIn19--e078a5af8bf71bf06f257426b4244b590867db32/f" TargetMode="External"/><Relationship Id="rId118" Type="http://schemas.openxmlformats.org/officeDocument/2006/relationships/hyperlink" Target="https://www.epe.gov.br/sites-en/publicacoes-dados-abertos/publicacoes/PublicacoesArquivos/publicacao-212/Executive%20Summary%20PDE%202029.pdf" TargetMode="External"/><Relationship Id="rId117" Type="http://schemas.openxmlformats.org/officeDocument/2006/relationships/hyperlink" Target="http://combateaodesmatamento.mma.gov.br/images/conteudo/Livro-PPCDam-e-PPCerrado_WEB_1.pdf" TargetMode="External"/><Relationship Id="rId116" Type="http://schemas.openxmlformats.org/officeDocument/2006/relationships/hyperlink" Target="https://climate-laws.org/rails/active_storage/blobs/eyJfcmFpbHMiOnsibWVzc2FnZSI6IkJBaHBBbGNOIiwiZXhwIjpudWxsLCJwdXIiOiJibG9iX2lkIn19--b129f9eac4c56229e7dbab031f96ac17b137db5e/Plano%20Controle%20Desmatamento%20Ilegal%20MMA%202020.pdf" TargetMode="External"/><Relationship Id="rId115" Type="http://schemas.openxmlformats.org/officeDocument/2006/relationships/hyperlink" Target="http://www.planalto.gov.br/ccivil_03/_Ato2015-2018/2016/Decreto/D8874.htm" TargetMode="External"/><Relationship Id="rId119" Type="http://schemas.openxmlformats.org/officeDocument/2006/relationships/hyperlink" Target="https://www.epe.gov.br/sites-pt/publicacoes-dados-abertos/publicacoes/Documents/PDE%202029.pdf" TargetMode="External"/><Relationship Id="rId15" Type="http://schemas.openxmlformats.org/officeDocument/2006/relationships/hyperlink" Target="https://www.bopa.ad/bopa/033016/Pagines/GSUB20210129_09_43_58.aspx" TargetMode="External"/><Relationship Id="rId110" Type="http://schemas.openxmlformats.org/officeDocument/2006/relationships/hyperlink" Target="http://www.planalto.gov.br/ccivil_03/_Ato2019-2022/2019/Decreto/D10143.htm" TargetMode="External"/><Relationship Id="rId14" Type="http://schemas.openxmlformats.org/officeDocument/2006/relationships/hyperlink" Target="https://www.bopa.ad/bopa/032016/Pagines/GD20200220_16_01_19.aspx" TargetMode="External"/><Relationship Id="rId17" Type="http://schemas.openxmlformats.org/officeDocument/2006/relationships/hyperlink" Target="http://laws.gov.ag/wp-content/uploads/2019/08/No.-10-of-2019-Environmental-Protection-and-Management-Bill-2019.pdf" TargetMode="External"/><Relationship Id="rId16" Type="http://schemas.openxmlformats.org/officeDocument/2006/relationships/hyperlink" Target="https://climate-laws.org/rails/active_storage/blobs/eyJfcmFpbHMiOnsibWVzc2FnZSI6IkJBaHBBbUlHIiwiZXhwIjpudWxsLCJwdXIiOiJibG9iX2lkIn19--72a9d7d5f232992f9d91c449c268244352fcbb22/f" TargetMode="External"/><Relationship Id="rId19" Type="http://schemas.openxmlformats.org/officeDocument/2006/relationships/hyperlink" Target="https://climate-laws.org/rails/active_storage/blobs/eyJfcmFpbHMiOnsibWVzc2FnZSI6IkJBaHBBcWdHIiwiZXhwIjpudWxsLCJwdXIiOiJibG9iX2lkIn19--d156e142db3159854cc7d95417d577d0c2dd2e9a/f" TargetMode="External"/><Relationship Id="rId114" Type="http://schemas.openxmlformats.org/officeDocument/2006/relationships/hyperlink" Target="https://www.in.gov.br/en/web/dou/-/decreto-n-10.387-de-5-de-junho-de-2020-260391759" TargetMode="External"/><Relationship Id="rId18" Type="http://schemas.openxmlformats.org/officeDocument/2006/relationships/hyperlink" Target="https://climate-laws.org/rails/active_storage/blobs/eyJfcmFpbHMiOnsibWVzc2FnZSI6IkJBaHBBcWNHIiwiZXhwIjpudWxsLCJwdXIiOiJibG9iX2lkIn19--a296b6f70667b9355997d562ee15b280abe44b78/f" TargetMode="External"/><Relationship Id="rId113" Type="http://schemas.openxmlformats.org/officeDocument/2006/relationships/hyperlink" Target="http://www.planalto.gov.br/ccivil_03/_ato2019-2022/2021/Decreto/D10845.htm" TargetMode="External"/><Relationship Id="rId112" Type="http://schemas.openxmlformats.org/officeDocument/2006/relationships/hyperlink" Target="http://www.planalto.gov.br/ccivil_03/_ato2019-2022/2021/Decreto/D10845.htm" TargetMode="External"/><Relationship Id="rId111" Type="http://schemas.openxmlformats.org/officeDocument/2006/relationships/hyperlink" Target="http://www.planalto.gov.br/ccivil_03/_Ato2019-2022/2019/Decreto/D10145.htm" TargetMode="External"/><Relationship Id="rId84" Type="http://schemas.openxmlformats.org/officeDocument/2006/relationships/hyperlink" Target="https://dermine.belgium.be/sites/default/files/articles/NL%20-%20Nationaal%20plan%20voor%20herstel%20een%20veerkracht_1.pdf" TargetMode="External"/><Relationship Id="rId83" Type="http://schemas.openxmlformats.org/officeDocument/2006/relationships/hyperlink" Target="https://www.consilium.europa.eu/en/documents-publications/public-register/public-register-search/results/?WordsInSubject=&amp;WordsInText=&amp;DocumentNumber=10161%2F21&amp;InterinstitutionalFiles=&amp;DocumentDateFrom=&amp;DocumentDateTo=&amp;MeetingDateFrom=&amp;MeetingDateTo=&amp;DocumentLanguage=EN&amp;OrderBy=DOCUMENT_DATE+DESC&amp;ctl00%24ctl00%24cpMain%24cpMain%24btnSubmit=" TargetMode="External"/><Relationship Id="rId86" Type="http://schemas.openxmlformats.org/officeDocument/2006/relationships/hyperlink" Target="https://climate-laws.org/rails/active_storage/blobs/eyJfcmFpbHMiOnsibWVzc2FnZSI6IkJBaHBBa0FGIiwiZXhwIjpudWxsLCJwdXIiOiJibG9iX2lkIn19--4951785ce4764906f393a8fbcfc97ad16b900ec7/f" TargetMode="External"/><Relationship Id="rId85" Type="http://schemas.openxmlformats.org/officeDocument/2006/relationships/hyperlink" Target="https://climate-laws.org/rails/active_storage/blobs/eyJfcmFpbHMiOnsibWVzc2FnZSI6IkJBaHBBdmtPIiwiZXhwIjpudWxsLCJwdXIiOiJibG9iX2lkIn19--a01749a6586a1900fb7eb860228b2e3ac0cb5d4d/FR%20-%20Plan%20national%20pour%20la%20reprise%20et%20la%20r%C3%A9silience.pdf" TargetMode="External"/><Relationship Id="rId88" Type="http://schemas.openxmlformats.org/officeDocument/2006/relationships/hyperlink" Target="http://www.lse.ac.uk/GranthamInstitute/wp-content/uploads/laws/1092.pdf" TargetMode="External"/><Relationship Id="rId87" Type="http://schemas.openxmlformats.org/officeDocument/2006/relationships/hyperlink" Target="https://climate-laws.org/rails/active_storage/blobs/eyJfcmFpbHMiOnsibWVzc2FnZSI6IkJBaHBBa0VGIiwiZXhwIjpudWxsLCJwdXIiOiJibG9iX2lkIn19--76921fb408d72bf3384c0e8f03f713a311b6a4a0/f" TargetMode="External"/><Relationship Id="rId89" Type="http://schemas.openxmlformats.org/officeDocument/2006/relationships/hyperlink" Target="https://climate-laws.org/rails/active_storage/blobs/eyJfcmFpbHMiOnsibWVzc2FnZSI6IkJBaHBBblFLIiwiZXhwIjpudWxsLCJwdXIiOiJibG9iX2lkIn19--1dbd41c56fa144832a1758c6d6ed3f8ea6de87c6/1092regulation.pdf" TargetMode="External"/><Relationship Id="rId80" Type="http://schemas.openxmlformats.org/officeDocument/2006/relationships/hyperlink" Target="https://ec.europa.eu/info/business-economy-euro/recovery-coronavirus/recovery-and-resilience-facility/belgiums-recovery-and-resilience-plan_en" TargetMode="External"/><Relationship Id="rId82" Type="http://schemas.openxmlformats.org/officeDocument/2006/relationships/hyperlink" Target="https://www.consilium.europa.eu/en/documents-publications/public-register/public-register-search/results/?WordsInSubject=&amp;WordsInText=&amp;DocumentNumber=10161%2F21&amp;InterinstitutionalFiles=&amp;DocumentDateFrom=&amp;DocumentDateTo=&amp;MeetingDateFrom=&amp;MeetingDateTo=&amp;DocumentLanguage=EN&amp;OrderBy=DOCUMENT_DATE+DESC&amp;ctl00%24ctl00%24cpMain%24cpMain%24btnSubmit=%7Cen" TargetMode="External"/><Relationship Id="rId81" Type="http://schemas.openxmlformats.org/officeDocument/2006/relationships/hyperlink" Target="https://ec.europa.eu/info/business-economy-euro/recovery-coronavirus/recovery-and-resilience-facility/belgiums-recovery-and-resilience-plan_en" TargetMode="External"/><Relationship Id="rId1" Type="http://schemas.openxmlformats.org/officeDocument/2006/relationships/comments" Target="../comments1.xml"/><Relationship Id="rId2" Type="http://schemas.openxmlformats.org/officeDocument/2006/relationships/hyperlink" Target="https://climate-laws.org/rails/active_storage/blobs/eyJfcmFpbHMiOnsibWVzc2FnZSI6IkJBaHBBczhHIiwiZXhwIjpudWxsLCJwdXIiOiJibG9iX2lkIn19--4e27f8fbe94a3cff706ea55e80d68f0beb270161/f" TargetMode="External"/><Relationship Id="rId3" Type="http://schemas.openxmlformats.org/officeDocument/2006/relationships/hyperlink" Target="https://climate-laws.org/rails/active_storage/blobs/eyJfcmFpbHMiOnsibWVzc2FnZSI6IkJBaHBBbFlNIiwiZXhwIjpudWxsLCJwdXIiOiJibG9iX2lkIn19--60aeeb8a653d951c1ad086e9ed8e0533daf24154/%D9%82%D8%A7%D9%86%D9%88%D9%86%20%D8%A2%D9%85%D8%A7%D8%AF%DA%AF%DB%8C%20%D9%85%D8%A8%D8%A7%D8%B1%D8%B2%D9%87%20%D8%A8%D8%A7%20%D8%AD%D9%88%D8%A7%D8%AF%D8%AB_Law%20on%20Disaster%20Response%20Management%20and%20Preparedness_Dari%20Version.pd.pdf" TargetMode="External"/><Relationship Id="rId4" Type="http://schemas.openxmlformats.org/officeDocument/2006/relationships/hyperlink" Target="https://climate-laws.org/rails/active_storage/blobs/eyJfcmFpbHMiOnsibWVzc2FnZSI6IkJBaHBBbW9IIiwiZXhwIjpudWxsLCJwdXIiOiJibG9iX2lkIn19--8f2d8a74a035c2459107a5ad08cf6816ca16b402/c" TargetMode="External"/><Relationship Id="rId9" Type="http://schemas.openxmlformats.org/officeDocument/2006/relationships/hyperlink" Target="https://www.bopa.ad/bopa/032029/Pagines/GD20200312_15_02_09.aspx" TargetMode="External"/><Relationship Id="rId5" Type="http://schemas.openxmlformats.org/officeDocument/2006/relationships/hyperlink" Target="https://climate-laws.org/rails/active_storage/blobs/eyJfcmFpbHMiOnsibWVzc2FnZSI6IkJBaHBBbXNIIiwiZXhwIjpudWxsLCJwdXIiOiJibG9iX2lkIn19--8c62f90e227182fe85bab83757279c57ae9d8acc/f" TargetMode="External"/><Relationship Id="rId6" Type="http://schemas.openxmlformats.org/officeDocument/2006/relationships/hyperlink" Target="https://climate-laws.org/rails/active_storage/blobs/eyJfcmFpbHMiOnsibWVzc2FnZSI6IkJBaHBBbEFJIiwiZXhwIjpudWxsLCJwdXIiOiJibG9iX2lkIn19--f343d56a020930968bd786f27cdd19f8cce12eaa/f" TargetMode="External"/><Relationship Id="rId7" Type="http://schemas.openxmlformats.org/officeDocument/2006/relationships/hyperlink" Target="https://www.bopa.ad/bopa/029020/Pagines/GD20170324_10_28_12.aspx" TargetMode="External"/><Relationship Id="rId8" Type="http://schemas.openxmlformats.org/officeDocument/2006/relationships/hyperlink" Target="https://www.bopa.ad/bopa/029018/Pagines/GD20170317_11_37_47.aspx" TargetMode="External"/><Relationship Id="rId73" Type="http://schemas.openxmlformats.org/officeDocument/2006/relationships/hyperlink" Target="http://www.ejustice.just.fgov.be/cgi_loi/change_lg.pl?language=fr&amp;la=F&amp;table_name=loi&amp;cn=1997050535%20%20%7Cfr" TargetMode="External"/><Relationship Id="rId72" Type="http://schemas.openxmlformats.org/officeDocument/2006/relationships/hyperlink" Target="http://www.ejustice.just.fgov.be/cgi/article_body.pl?language=fr&amp;pub_date=2019-05-24&amp;caller=summary&amp;numac=2019030491" TargetMode="External"/><Relationship Id="rId75" Type="http://schemas.openxmlformats.org/officeDocument/2006/relationships/hyperlink" Target="https://www.developpementdurable.be/fr/politique-federale/strategie-federale/instruments/le-plan-federal-de-developpement-durable" TargetMode="External"/><Relationship Id="rId74" Type="http://schemas.openxmlformats.org/officeDocument/2006/relationships/hyperlink" Target="http://www.ejustice.just.fgov.be/cgi_loi/change_lg.pl?language=fr&amp;la=F&amp;table_name=loi&amp;cn=1997050535%20%20" TargetMode="External"/><Relationship Id="rId77" Type="http://schemas.openxmlformats.org/officeDocument/2006/relationships/hyperlink" Target="https://ec.europa.eu/energy/sites/ener/files/documents/be_final_necp_partb_fr.pdf" TargetMode="External"/><Relationship Id="rId76" Type="http://schemas.openxmlformats.org/officeDocument/2006/relationships/hyperlink" Target="https://ec.europa.eu/energy/sites/ener/files/documents/be_final_necp_parta_fr.pdf" TargetMode="External"/><Relationship Id="rId79" Type="http://schemas.openxmlformats.org/officeDocument/2006/relationships/hyperlink" Target="https://ec.europa.eu/energy/sites/ener/files/documents/be_final_necp_partb_nl.pdf" TargetMode="External"/><Relationship Id="rId78" Type="http://schemas.openxmlformats.org/officeDocument/2006/relationships/hyperlink" Target="https://ec.europa.eu/energy/sites/ener/files/documents/be_final_necp_parta_nl.pdf" TargetMode="External"/><Relationship Id="rId71" Type="http://schemas.openxmlformats.org/officeDocument/2006/relationships/hyperlink" Target="http://www.ejustice.just.fgov.be/cgi/article_body.pl?language=fr&amp;pub_date=2019-05-24&amp;caller=summary&amp;numac=2019030491%7Cfr" TargetMode="External"/><Relationship Id="rId70" Type="http://schemas.openxmlformats.org/officeDocument/2006/relationships/hyperlink" Target="http://www.lse.ac.uk/GranthamInstitute/wp-content/uploads/laws/1079.pdf" TargetMode="External"/><Relationship Id="rId62" Type="http://schemas.openxmlformats.org/officeDocument/2006/relationships/hyperlink" Target="https://climate-laws.org/rails/active_storage/blobs/eyJfcmFpbHMiOnsibWVzc2FnZSI6IkJBaHBBbkVLIiwiZXhwIjpudWxsLCJwdXIiOiJibG9iX2lkIn19--a2d37f2fefcb06a5dbf3f4f81c6ab7e19def00e5/1059Amendment2010.pdf" TargetMode="External"/><Relationship Id="rId61" Type="http://schemas.openxmlformats.org/officeDocument/2006/relationships/hyperlink" Target="http://www.lse.ac.uk/GranthamInstitute/wp-content/uploads/laws/1059.pdf" TargetMode="External"/><Relationship Id="rId64" Type="http://schemas.openxmlformats.org/officeDocument/2006/relationships/hyperlink" Target="https://climate-laws.org/rails/active_storage/blobs/eyJfcmFpbHMiOnsibWVzc2FnZSI6IkJBaHBBbHNHIiwiZXhwIjpudWxsLCJwdXIiOiJibG9iX2lkIn19--bbcd2d16a6991a5e90c53e6aa2f33c3f7e54504b/f" TargetMode="External"/><Relationship Id="rId63" Type="http://schemas.openxmlformats.org/officeDocument/2006/relationships/hyperlink" Target="https://climate-laws.org/rails/active_storage/blobs/eyJfcmFpbHMiOnsibWVzc2FnZSI6IkJBaHBBbG9HIiwiZXhwIjpudWxsLCJwdXIiOiJibG9iX2lkIn19--468a894a3d01154ad1c4b35e343dfafa20ac9069/f" TargetMode="External"/><Relationship Id="rId66" Type="http://schemas.openxmlformats.org/officeDocument/2006/relationships/hyperlink" Target="https://climate-laws.org/rails/active_storage/blobs/eyJfcmFpbHMiOnsibWVzc2FnZSI6IkJBaHBBaGdLIiwiZXhwIjpudWxsLCJwdXIiOiJibG9iX2lkIn19--fb4578ece26d712bd4ec2485de353212699ec4e2/F" TargetMode="External"/><Relationship Id="rId65" Type="http://schemas.openxmlformats.org/officeDocument/2006/relationships/hyperlink" Target="https://climate-laws.org/rails/active_storage/blobs/eyJfcmFpbHMiOnsibWVzc2FnZSI6IkJBaHBBaGNLIiwiZXhwIjpudWxsLCJwdXIiOiJibG9iX2lkIn19--58132381b32ddcd90f41cb0c7db6aab1dfa27caa/F" TargetMode="External"/><Relationship Id="rId68" Type="http://schemas.openxmlformats.org/officeDocument/2006/relationships/hyperlink" Target="https://climate-laws.org/rails/active_storage/blobs/eyJfcmFpbHMiOnsibWVzc2FnZSI6IkJBaHBBbklLIiwiZXhwIjpudWxsLCJwdXIiOiJibG9iX2lkIn19--8f2e47fa5ec5804c07b77682c4b7fa7d15f3ed2c/1073modification2015.pdf" TargetMode="External"/><Relationship Id="rId67" Type="http://schemas.openxmlformats.org/officeDocument/2006/relationships/hyperlink" Target="http://www.lse.ac.uk/GranthamInstitute/wp-content/uploads/laws/1073.pdf" TargetMode="External"/><Relationship Id="rId60" Type="http://schemas.openxmlformats.org/officeDocument/2006/relationships/hyperlink" Target="http://faolex.fao.org/docs/pdf/bah152956.pdf" TargetMode="External"/><Relationship Id="rId69" Type="http://schemas.openxmlformats.org/officeDocument/2006/relationships/hyperlink" Target="http://www.lse.ac.uk/GranthamInstitute/wp-content/uploads/laws/1079%20-%20modification%20in%202017.pdf" TargetMode="External"/><Relationship Id="rId51" Type="http://schemas.openxmlformats.org/officeDocument/2006/relationships/hyperlink" Target="https://ec.europa.eu/energy/sites/ener/files/documents/at_final_necp_main_de.pdf" TargetMode="External"/><Relationship Id="rId50" Type="http://schemas.openxmlformats.org/officeDocument/2006/relationships/hyperlink" Target="https://ec.europa.eu/energy/sites/ener/files/documents/at_final_necp_main_en.pdf" TargetMode="External"/><Relationship Id="rId53" Type="http://schemas.openxmlformats.org/officeDocument/2006/relationships/hyperlink" Target="https://climate-laws.org/rails/active_storage/blobs/eyJfcmFpbHMiOnsibWVzc2FnZSI6IkJBaHBBbFVNIiwiZXhwIjpudWxsLCJwdXIiOiJibG9iX2lkIn19--91eb7d8d3d167d713358e084a5d1e007838551d8/fname_761193.pdf" TargetMode="External"/><Relationship Id="rId52" Type="http://schemas.openxmlformats.org/officeDocument/2006/relationships/hyperlink" Target="https://www.parlament.gv.at/PAKT/VHG/XXVI/A/A_00984/index.shtml" TargetMode="External"/><Relationship Id="rId55" Type="http://schemas.openxmlformats.org/officeDocument/2006/relationships/hyperlink" Target="https://www.bundeskanzleramt.gv.at/eu-aufbauplan/der-eu-aufbauplan.html" TargetMode="External"/><Relationship Id="rId54" Type="http://schemas.openxmlformats.org/officeDocument/2006/relationships/hyperlink" Target="https://www.parlament.gv.at/PAKT/VHG/XXVII/I/I_01293/index.shtml" TargetMode="External"/><Relationship Id="rId57" Type="http://schemas.openxmlformats.org/officeDocument/2006/relationships/hyperlink" Target="https://climate-laws.org/rails/active_storage/blobs/eyJfcmFpbHMiOnsibWVzc2FnZSI6IkJBaHBBdkVPIiwiZXhwIjpudWxsLCJwdXIiOiJibG9iX2lkIn19--12d0422f5cfbbadf1e9405e37aee912128eaea81/Oesterreichischer-Aufbau-und-Resilienzplan-2020-2026.pdf" TargetMode="External"/><Relationship Id="rId56" Type="http://schemas.openxmlformats.org/officeDocument/2006/relationships/hyperlink" Target="https://data.consilium.europa.eu/doc/document/ST-10159-2021-COR-1/en/pdf" TargetMode="External"/><Relationship Id="rId59" Type="http://schemas.openxmlformats.org/officeDocument/2006/relationships/hyperlink" Target="http://extwprlegs1.fao.org/docs/pdf/bah89463.pdf" TargetMode="External"/><Relationship Id="rId58" Type="http://schemas.openxmlformats.org/officeDocument/2006/relationships/hyperlink" Target="https://data.consilium.europa.eu/doc/document/ST-10159-2021-ADD-1/en/pdf" TargetMode="External"/></Relationships>
</file>

<file path=xl/worksheets/_rels/sheet14.xml.rels><?xml version="1.0" encoding="UTF-8" standalone="yes"?><Relationships xmlns="http://schemas.openxmlformats.org/package/2006/relationships"><Relationship Id="rId11" Type="http://schemas.openxmlformats.org/officeDocument/2006/relationships/hyperlink" Target="https://www.bopa.ad/bopa/032016/Pagines/GD20200220_16_01_19.aspx" TargetMode="External"/><Relationship Id="rId10" Type="http://schemas.openxmlformats.org/officeDocument/2006/relationships/hyperlink" Target="https://www.bopa.ad/bopa/028067/Pagines/CGL20161109_11_13_11.aspx" TargetMode="External"/><Relationship Id="rId13" Type="http://schemas.openxmlformats.org/officeDocument/2006/relationships/hyperlink" Target="http://laws.gov.ag/wp-content/uploads/2019/08/No.-10-of-2019-Environmental-Protection-and-Management-Bill-2019.pdf" TargetMode="External"/><Relationship Id="rId12" Type="http://schemas.openxmlformats.org/officeDocument/2006/relationships/hyperlink" Target="https://www.bopa.ad/bopa/033016/Pagines/GSUB20210129_09_43_58.aspx" TargetMode="External"/><Relationship Id="rId15" Type="http://schemas.openxmlformats.org/officeDocument/2006/relationships/hyperlink" Target="https://climate-laws.org/rails/active_storage/blobs/eyJfcmFpbHMiOnsibWVzc2FnZSI6IkJBaHBBaUFJIiwiZXhwIjpudWxsLCJwdXIiOiJibG9iX2lkIn19--54965c8a86b93863b75bd0c9dafd230d26974a5d/f" TargetMode="External"/><Relationship Id="rId14" Type="http://schemas.openxmlformats.org/officeDocument/2006/relationships/hyperlink" Target="https://climate-laws.org/rails/active_storage/blobs/eyJfcmFpbHMiOnsibWVzc2FnZSI6IkJBaHBBbUlHIiwiZXhwIjpudWxsLCJwdXIiOiJibG9iX2lkIn19--72a9d7d5f232992f9d91c449c268244352fcbb22/f" TargetMode="External"/><Relationship Id="rId16" Type="http://schemas.openxmlformats.org/officeDocument/2006/relationships/drawing" Target="../drawings/drawing14.xml"/><Relationship Id="rId1" Type="http://schemas.openxmlformats.org/officeDocument/2006/relationships/hyperlink" Target="https://climate-laws.org/rails/active_storage/blobs/eyJfcmFpbHMiOnsibWVzc2FnZSI6IkJBaHBBczhHIiwiZXhwIjpudWxsLCJwdXIiOiJibG9iX2lkIn19--4e27f8fbe94a3cff706ea55e80d68f0beb270161/f" TargetMode="External"/><Relationship Id="rId2" Type="http://schemas.openxmlformats.org/officeDocument/2006/relationships/hyperlink" Target="https://climate-laws.org/rails/active_storage/blobs/eyJfcmFpbHMiOnsibWVzc2FnZSI6IkJBaHBBbFlNIiwiZXhwIjpudWxsLCJwdXIiOiJibG9iX2lkIn19--60aeeb8a653d951c1ad086e9ed8e0533daf24154/%D9%82%D8%A7%D9%86%D9%88%D9%86%20%D8%A2%D9%85%D8%A7%D8%AF%DA%AF%DB%8C%20%D9%85%D8%A8%D8%A7%D8%B1%D8%B2%D9%87%20%D8%A8%D8%A7%20%D8%AD%D9%88%D8%A7%D8%AF%D8%AB_Law%20on%20Disaster%20Response%20Management%20and%20Preparedness_Dari%20Version.pd.pdf" TargetMode="External"/><Relationship Id="rId3" Type="http://schemas.openxmlformats.org/officeDocument/2006/relationships/hyperlink" Target="https://climate-laws.org/rails/active_storage/blobs/eyJfcmFpbHMiOnsibWVzc2FnZSI6IkJBaHBBbEFJIiwiZXhwIjpudWxsLCJwdXIiOiJibG9iX2lkIn19--f343d56a020930968bd786f27cdd19f8cce12eaa/f" TargetMode="External"/><Relationship Id="rId4" Type="http://schemas.openxmlformats.org/officeDocument/2006/relationships/hyperlink" Target="https://www.bopa.ad/bopa/029020/Pagines/GD20170324_10_28_12.aspx" TargetMode="External"/><Relationship Id="rId9" Type="http://schemas.openxmlformats.org/officeDocument/2006/relationships/hyperlink" Target="http://www.consellgeneral.ad/ca/arxiu/arxiu-de-lleis-i-textos-aprovats-en-legislatures-anteriors/vii-legislatura-2015-2019/copy_of_lleis-aprovades/llei-4-2016-del-10-de-marc-de-foment-del-vehicle-electric" TargetMode="External"/><Relationship Id="rId5" Type="http://schemas.openxmlformats.org/officeDocument/2006/relationships/hyperlink" Target="https://www.bopa.ad/bopa/029018/Pagines/GD20170317_11_37_47.aspx" TargetMode="External"/><Relationship Id="rId6" Type="http://schemas.openxmlformats.org/officeDocument/2006/relationships/hyperlink" Target="https://www.bopa.ad/bopa/032029/Pagines/GD20200312_15_02_09.aspx" TargetMode="External"/><Relationship Id="rId7" Type="http://schemas.openxmlformats.org/officeDocument/2006/relationships/hyperlink" Target="https://www.bopa.ad/bopa/031059/Pagines/GD20190628_09_11_13.aspx" TargetMode="External"/><Relationship Id="rId8" Type="http://schemas.openxmlformats.org/officeDocument/2006/relationships/hyperlink" Target="https://www.bopa.ad/bopa/032029/Pagines/GD20200312_15_02_09.aspx" TargetMode="External"/></Relationships>
</file>

<file path=xl/worksheets/_rels/sheet15.xml.rels><?xml version="1.0" encoding="UTF-8" standalone="yes"?><Relationships xmlns="http://schemas.openxmlformats.org/package/2006/relationships"><Relationship Id="rId40" Type="http://schemas.openxmlformats.org/officeDocument/2006/relationships/hyperlink" Target="http://www.dgepcd.gov.cy/dgepcd/dgepcd.nsf/All/F40FB0CE906370CAC22586A4002C8BF7?OpenDocument%7Cel" TargetMode="External"/><Relationship Id="rId42" Type="http://schemas.openxmlformats.org/officeDocument/2006/relationships/hyperlink" Target="http://www.cyprus-tomorrow.gov.cy/cypresidency/kyprostoavrio.nsf/all/B37B4D3AC1DB73B6C22586DA00421E05/$file/Cyprus%20RRP%20For%20Upload%2020052021.pdf?openelement%7Cel" TargetMode="External"/><Relationship Id="rId41" Type="http://schemas.openxmlformats.org/officeDocument/2006/relationships/hyperlink" Target="http://www.dgepcd.gov.cy/dgepcd/dgepcd.nsf/All/F40FB0CE906370CAC22586A4002C8BF7?OpenDocument" TargetMode="External"/><Relationship Id="rId44" Type="http://schemas.openxmlformats.org/officeDocument/2006/relationships/hyperlink" Target="http://www.lse.ac.uk/GranthamInstitute/wp-content/uploads/laws/1142.pdf" TargetMode="External"/><Relationship Id="rId43" Type="http://schemas.openxmlformats.org/officeDocument/2006/relationships/hyperlink" Target="http://www.cyprus-tomorrow.gov.cy/cypresidency/kyprostoavrio.nsf/all/B37B4D3AC1DB73B6C22586DA00421E05/$file/Cyprus%20RRP%20For%20Upload%2020052021.pdf?openelement" TargetMode="External"/><Relationship Id="rId46" Type="http://schemas.openxmlformats.org/officeDocument/2006/relationships/hyperlink" Target="https://climate-laws.org/rails/active_storage/blobs/eyJfcmFpbHMiOnsibWVzc2FnZSI6IkJBaHBBaEFHIiwiZXhwIjpudWxsLCJwdXIiOiJibG9iX2lkIn19--ebfc9a389fd60d24d891b2f13876039718fca2c8/f" TargetMode="External"/><Relationship Id="rId45" Type="http://schemas.openxmlformats.org/officeDocument/2006/relationships/hyperlink" Target="https://climate-laws.org/rails/active_storage/blobs/eyJfcmFpbHMiOnsibWVzc2FnZSI6IkJBaHBBb0VLIiwiZXhwIjpudWxsLCJwdXIiOiJibG9iX2lkIn19--1058fbb6b883cc2ca7904ec80cc72419c15f2f18/1142%20-%20EN%20translation.pdf" TargetMode="External"/><Relationship Id="rId107" Type="http://schemas.openxmlformats.org/officeDocument/2006/relationships/hyperlink" Target="http://eur-lex.europa.eu/legal-content/EN/TXT/?uri=uriserv:OJ.L_.2018.010.01.0017.01.ENG&amp;toc=OJ:L:2018:010:TOC%7Cen" TargetMode="External"/><Relationship Id="rId106" Type="http://schemas.openxmlformats.org/officeDocument/2006/relationships/hyperlink" Target="http://eur-lex.europa.eu/legal-content/EN/TXT/?uri=CELEX%3A32009D0300" TargetMode="External"/><Relationship Id="rId105" Type="http://schemas.openxmlformats.org/officeDocument/2006/relationships/hyperlink" Target="http://eur-lex.europa.eu/legal-content/EN/TXT/?uri=CELEX%3A32009D0300%7Cen" TargetMode="External"/><Relationship Id="rId104" Type="http://schemas.openxmlformats.org/officeDocument/2006/relationships/hyperlink" Target="http://www.lse.ac.uk/GranthamInstitute/wp-content/uploads/2018/02/tyres-energy-eff-EU-CELEX3A32009R12223AEN3ATXT.pdf" TargetMode="External"/><Relationship Id="rId109" Type="http://schemas.openxmlformats.org/officeDocument/2006/relationships/hyperlink" Target="http://www.lse.ac.uk/GranthamInstitute/wp-content/uploads/2018/02/tv-ecolabel-eu-CELEX3A32018D00593AEN3ATXT.pdf" TargetMode="External"/><Relationship Id="rId108" Type="http://schemas.openxmlformats.org/officeDocument/2006/relationships/hyperlink" Target="http://eur-lex.europa.eu/legal-content/EN/TXT/?uri=uriserv:OJ.L_.2018.010.01.0017.01.ENG&amp;toc=OJ:L:2018:010:TOC" TargetMode="External"/><Relationship Id="rId48" Type="http://schemas.openxmlformats.org/officeDocument/2006/relationships/hyperlink" Target="https://ec.europa.eu/energy/sites/ener/files/documents/cs_final_necp_main_en.pdf" TargetMode="External"/><Relationship Id="rId47" Type="http://schemas.openxmlformats.org/officeDocument/2006/relationships/hyperlink" Target="https://climate-laws.org/rails/active_storage/blobs/eyJfcmFpbHMiOnsibWVzc2FnZSI6IkJBaHBBaEVHIiwiZXhwIjpudWxsLCJwdXIiOiJibG9iX2lkIn19--c3a8cc54f6f111cbdcd31145a9d820aec4e366fd/f" TargetMode="External"/><Relationship Id="rId49" Type="http://schemas.openxmlformats.org/officeDocument/2006/relationships/hyperlink" Target="https://ec.europa.eu/energy/sites/ener/files/documents/cs_final_necp_main_cs.pdf" TargetMode="External"/><Relationship Id="rId103" Type="http://schemas.openxmlformats.org/officeDocument/2006/relationships/hyperlink" Target="http://eur-lex.europa.eu/legal-content/EN/TXT/?qid=1516634095318&amp;uri=CELEX:32009R1222" TargetMode="External"/><Relationship Id="rId102" Type="http://schemas.openxmlformats.org/officeDocument/2006/relationships/hyperlink" Target="http://eur-lex.europa.eu/legal-content/EN/TXT/?qid=1516634095318&amp;uri=CELEX:32009R1222%7Cen" TargetMode="External"/><Relationship Id="rId101" Type="http://schemas.openxmlformats.org/officeDocument/2006/relationships/hyperlink" Target="https://eur-lex.europa.eu/legal-content/EN/TXT/HTML/?uri=CELEX:32018L0410&amp;from=PT" TargetMode="External"/><Relationship Id="rId100" Type="http://schemas.openxmlformats.org/officeDocument/2006/relationships/hyperlink" Target="https://eur-lex.europa.eu/legal-content/EN/TXT/HTML/?uri=CELEX:32018L0410&amp;from=PT%7Cen" TargetMode="External"/><Relationship Id="rId31" Type="http://schemas.openxmlformats.org/officeDocument/2006/relationships/hyperlink" Target="http://www.parlamentocubano.gob.cu/index.php/documento/ley-de-la-defensa-nacional/" TargetMode="External"/><Relationship Id="rId30" Type="http://schemas.openxmlformats.org/officeDocument/2006/relationships/hyperlink" Target="https://www.consilium.europa.eu/en/documents-publications/public-register/public-register-search/results/?WordsInSubject=&amp;WordsInText=&amp;DocumentNumber=10687%2F21&amp;InterinstitutionalFiles=&amp;DocumentDateFrom=&amp;DocumentDateTo=&amp;MeetingDateFrom=&amp;MeetingDateTo=&amp;DocumentLanguage=EN&amp;OrderBy=DOCUMENT_DATE+DESC&amp;ctl00%24ctl00%24cpMain%24cpMain%24btnSubmit=" TargetMode="External"/><Relationship Id="rId33" Type="http://schemas.openxmlformats.org/officeDocument/2006/relationships/hyperlink" Target="https://climate-laws.org/rails/active_storage/blobs/eyJfcmFpbHMiOnsibWVzc2FnZSI6IkJBaHBBcXdFIiwiZXhwIjpudWxsLCJwdXIiOiJibG9iX2lkIn19--3db0019152b7cb8512ba5a07aec475310face4d9/f" TargetMode="External"/><Relationship Id="rId32" Type="http://schemas.openxmlformats.org/officeDocument/2006/relationships/hyperlink" Target="https://climate-laws.org/rails/active_storage/blobs/eyJfcmFpbHMiOnsibWVzc2FnZSI6IkJBaHBBbW9NIiwiZXhwIjpudWxsLCJwdXIiOiJibG9iX2lkIn19--bda483175a199dedc2476d73b4a91172f7c936bc/cub82158.pdf" TargetMode="External"/><Relationship Id="rId35" Type="http://schemas.openxmlformats.org/officeDocument/2006/relationships/hyperlink" Target="https://ec.europa.eu/info/business-economy-euro/recovery-coronavirus/recovery-and-resilience-facility/cyprus-recovery-and-resilience-plan_en" TargetMode="External"/><Relationship Id="rId34" Type="http://schemas.openxmlformats.org/officeDocument/2006/relationships/hyperlink" Target="https://www.ecured.cu/Tarea_Vida" TargetMode="External"/><Relationship Id="rId37" Type="http://schemas.openxmlformats.org/officeDocument/2006/relationships/hyperlink" Target="https://www.consilium.europa.eu/en/documents-publications/public-register/public-register-search/results/?WordsInSubject=&amp;WordsInText=&amp;DocumentNumber=10686%2F21&amp;InterinstitutionalFiles=&amp;DocumentDateFrom=&amp;DocumentDateTo=&amp;MeetingDateFrom=&amp;MeetingDateTo=&amp;DocumentLanguage=EN&amp;OrderBy=DOCUMENT_DATE+DESC&amp;ctl00%24ctl00%24cpMain%24cpMain%24btnSubmit=%7Cen" TargetMode="External"/><Relationship Id="rId36" Type="http://schemas.openxmlformats.org/officeDocument/2006/relationships/hyperlink" Target="https://ec.europa.eu/info/business-economy-euro/recovery-coronavirus/recovery-and-resilience-facility/cyprus-recovery-and-resilience-plan_en" TargetMode="External"/><Relationship Id="rId39" Type="http://schemas.openxmlformats.org/officeDocument/2006/relationships/hyperlink" Target="https://ec.europa.eu/info/files/factsheet-cypruss-recovery-and-resilience-plan_en" TargetMode="External"/><Relationship Id="rId38" Type="http://schemas.openxmlformats.org/officeDocument/2006/relationships/hyperlink" Target="https://www.consilium.europa.eu/en/documents-publications/public-register/public-register-search/results/?WordsInSubject=&amp;WordsInText=&amp;DocumentNumber=10686%2F21&amp;InterinstitutionalFiles=&amp;DocumentDateFrom=&amp;DocumentDateTo=&amp;MeetingDateFrom=&amp;MeetingDateTo=&amp;DocumentLanguage=EN&amp;OrderBy=DOCUMENT_DATE+DESC&amp;ctl00%24ctl00%24cpMain%24cpMain%24btnSubmit=" TargetMode="External"/><Relationship Id="rId20" Type="http://schemas.openxmlformats.org/officeDocument/2006/relationships/hyperlink" Target="https://climate-laws.org/rails/active_storage/blobs/eyJfcmFpbHMiOnsibWVzc2FnZSI6IkJBaHBBazhIIiwiZXhwIjpudWxsLCJwdXIiOiJibG9iX2lkIn19--39b8121074721df4190538ae8ff4a1cb1550a406/f" TargetMode="External"/><Relationship Id="rId22" Type="http://schemas.openxmlformats.org/officeDocument/2006/relationships/hyperlink" Target="https://ec.europa.eu/energy/sites/ener/files/documents/hr_final_necp_main_en.pdf" TargetMode="External"/><Relationship Id="rId21" Type="http://schemas.openxmlformats.org/officeDocument/2006/relationships/hyperlink" Target="https://www.zakon.hr/z/189/Zakon-o-biogorivima-za-prijevoz" TargetMode="External"/><Relationship Id="rId24" Type="http://schemas.openxmlformats.org/officeDocument/2006/relationships/hyperlink" Target="https://ec.europa.eu/info/business-economy-euro/recovery-coronavirus/recovery-and-resilience-facility/croatias-recovery-and-resilience-plan_en" TargetMode="External"/><Relationship Id="rId23" Type="http://schemas.openxmlformats.org/officeDocument/2006/relationships/hyperlink" Target="https://ec.europa.eu/energy/sites/ener/files/documents/hr_final_necp_main_hr.pdf" TargetMode="External"/><Relationship Id="rId129" Type="http://schemas.openxmlformats.org/officeDocument/2006/relationships/hyperlink" Target="https://eur-lex.europa.eu/eli/reg/2019/2088/oj" TargetMode="External"/><Relationship Id="rId128" Type="http://schemas.openxmlformats.org/officeDocument/2006/relationships/hyperlink" Target="https://ec.europa.eu/finance/docs/level-2-measures/taxonomy-regulation-delegated-act-2022-631_en.pdf" TargetMode="External"/><Relationship Id="rId127" Type="http://schemas.openxmlformats.org/officeDocument/2006/relationships/hyperlink" Target="https://eur-lex.europa.eu/legal-content/EN/TXT/?uri=CELEX:32021R2139&amp;qid=1639037016630" TargetMode="External"/><Relationship Id="rId126" Type="http://schemas.openxmlformats.org/officeDocument/2006/relationships/hyperlink" Target="https://eur-lex.europa.eu/legal-content/EN/TXT/?uri=CELEX:32021R2139&amp;qid=1639037016630%7Cen" TargetMode="External"/><Relationship Id="rId26" Type="http://schemas.openxmlformats.org/officeDocument/2006/relationships/hyperlink" Target="https://ec.europa.eu/info/files/recovery-and-resilience-plan-croatia_en" TargetMode="External"/><Relationship Id="rId121" Type="http://schemas.openxmlformats.org/officeDocument/2006/relationships/hyperlink" Target="https://eur-lex.europa.eu/legal-content/EN/TXT/?qid=1576150542719&amp;uri=COM%3A2019%3A640%3AFIN" TargetMode="External"/><Relationship Id="rId25" Type="http://schemas.openxmlformats.org/officeDocument/2006/relationships/hyperlink" Target="https://ec.europa.eu/info/business-economy-euro/recovery-coronavirus/recovery-and-resilience-facility/croatias-recovery-and-resilience-plan_en" TargetMode="External"/><Relationship Id="rId120" Type="http://schemas.openxmlformats.org/officeDocument/2006/relationships/hyperlink" Target="https://eur-lex.europa.eu/legal-content/EN/TXT/?qid=1576150542719&amp;uri=COM%3A2019%3A640%3AFIN%7Cen" TargetMode="External"/><Relationship Id="rId28" Type="http://schemas.openxmlformats.org/officeDocument/2006/relationships/hyperlink" Target="https://ec.europa.eu/info/files/factsheet-croatias-recovery-and-resilience-plan_en" TargetMode="External"/><Relationship Id="rId27" Type="http://schemas.openxmlformats.org/officeDocument/2006/relationships/hyperlink" Target="https://planoporavka.gov.hr" TargetMode="External"/><Relationship Id="rId125" Type="http://schemas.openxmlformats.org/officeDocument/2006/relationships/hyperlink" Target="https://eur-lex.europa.eu/legal-content/EN/TXT/?uri=uriserv:OJ.L_.2021.443.01.0009.01.ENG" TargetMode="External"/><Relationship Id="rId29" Type="http://schemas.openxmlformats.org/officeDocument/2006/relationships/hyperlink" Target="https://www.consilium.europa.eu/en/documents-publications/public-register/public-register-search/results/?WordsInSubject=&amp;WordsInText=&amp;DocumentNumber=10687%2F21&amp;InterinstitutionalFiles=&amp;DocumentDateFrom=&amp;DocumentDateTo=&amp;MeetingDateFrom=&amp;MeetingDateTo=&amp;DocumentLanguage=EN&amp;OrderBy=DOCUMENT_DATE+DESC&amp;ctl00%24ctl00%24cpMain%24cpMain%24btnSubmit=%7Cen" TargetMode="External"/><Relationship Id="rId124" Type="http://schemas.openxmlformats.org/officeDocument/2006/relationships/hyperlink" Target="https://eur-lex.europa.eu/legal-content/EN/TXT/?uri=uriserv:OJ.L_.2021.443.01.0009.01.ENG%7Cen" TargetMode="External"/><Relationship Id="rId123" Type="http://schemas.openxmlformats.org/officeDocument/2006/relationships/hyperlink" Target="https://eur-lex.europa.eu/legal-content/EN/TXT/?uri=celex:32020R0852" TargetMode="External"/><Relationship Id="rId122" Type="http://schemas.openxmlformats.org/officeDocument/2006/relationships/hyperlink" Target="https://eur-lex.europa.eu/legal-content/EN/TXT/?uri=celex:32020R0852%7Cen" TargetMode="External"/><Relationship Id="rId95" Type="http://schemas.openxmlformats.org/officeDocument/2006/relationships/hyperlink" Target="https://eur-lex.europa.eu/legal-content/EN/TXT/?uri=CELEX:32020R2220" TargetMode="External"/><Relationship Id="rId94" Type="http://schemas.openxmlformats.org/officeDocument/2006/relationships/hyperlink" Target="https://eur-lex.europa.eu/legal-content/EN/TXT/?uri=CELEX:32020R2220%7Cen" TargetMode="External"/><Relationship Id="rId97" Type="http://schemas.openxmlformats.org/officeDocument/2006/relationships/hyperlink" Target="https://eur-lex.europa.eu/legal-content/EN/TXT/?uri=CELEX%3A32003L0087" TargetMode="External"/><Relationship Id="rId96" Type="http://schemas.openxmlformats.org/officeDocument/2006/relationships/hyperlink" Target="https://eur-lex.europa.eu/legal-content/EN/TXT/?uri=CELEX%3A32003L0087%7Cen" TargetMode="External"/><Relationship Id="rId11" Type="http://schemas.openxmlformats.org/officeDocument/2006/relationships/hyperlink" Target="http://www.pgrweb.go.cr/scij/Busqueda/Normativa/Normas/nrm_texto_completo.aspx?nValor1=1&amp;nValor2=86581%7C" TargetMode="External"/><Relationship Id="rId99" Type="http://schemas.openxmlformats.org/officeDocument/2006/relationships/hyperlink" Target="https://eur-lex.europa.eu/legal-content/EN/TXT/?uri=CELEX:32009L0029" TargetMode="External"/><Relationship Id="rId10" Type="http://schemas.openxmlformats.org/officeDocument/2006/relationships/hyperlink" Target="http://www.pgrweb.go.cr/scij/Busqueda/Normativa/Normas/nrm_texto_completo.aspx?param1=NRTC&amp;nValor1=1&amp;nValor2=92387&amp;nValor3=122303&amp;strTipM=TC" TargetMode="External"/><Relationship Id="rId98" Type="http://schemas.openxmlformats.org/officeDocument/2006/relationships/hyperlink" Target="https://eur-lex.europa.eu/legal-content/EN/TXT/?uri=CELEX:32009L0029%7Cen" TargetMode="External"/><Relationship Id="rId13" Type="http://schemas.openxmlformats.org/officeDocument/2006/relationships/hyperlink" Target="https://climate-laws.org/rails/active_storage/blobs/eyJfcmFpbHMiOnsibWVzc2FnZSI6IkJBaHBBb0VGIiwiZXhwIjpudWxsLCJwdXIiOiJibG9iX2lkIn19--8cfa03fbcaf659478091ab53b3662a712cd3a151/f" TargetMode="External"/><Relationship Id="rId12" Type="http://schemas.openxmlformats.org/officeDocument/2006/relationships/hyperlink" Target="http://www.pgrweb.go.cr/scij/Busqueda/Normativa/Normas/nrm_texto_completo.aspx?nValor1=1&amp;nValor2=86581" TargetMode="External"/><Relationship Id="rId91" Type="http://schemas.openxmlformats.org/officeDocument/2006/relationships/hyperlink" Target="https://climate-laws.org/rails/active_storage/blobs/eyJfcmFpbHMiOnsibWVzc2FnZSI6IkJBaHBBaVVKIiwiZXhwIjpudWxsLCJwdXIiOiJibG9iX2lkIn19--13690ef5c1b9188c08fad85dbcf56b8ea1f41143/f" TargetMode="External"/><Relationship Id="rId90" Type="http://schemas.openxmlformats.org/officeDocument/2006/relationships/hyperlink" Target="https://climate-laws.org/rails/active_storage/blobs/eyJfcmFpbHMiOnsibWVzc2FnZSI6IkJBaHBBaVFKIiwiZXhwIjpudWxsLCJwdXIiOiJibG9iX2lkIn19--c450d01ccd2887c0895c2f4ff66508d6324ffeb8/f" TargetMode="External"/><Relationship Id="rId93" Type="http://schemas.openxmlformats.org/officeDocument/2006/relationships/hyperlink" Target="https://climate-laws.org/rails/active_storage/blobs/eyJfcmFpbHMiOnsibWVzc2FnZSI6IkJBaHBBb1VLIiwiZXhwIjpudWxsLCJwdXIiOiJibG9iX2lkIn19--b8e87f1a94d4f4b1faaf3a3faf9763d0fa405159/1200%20-%20overview.pdf" TargetMode="External"/><Relationship Id="rId92" Type="http://schemas.openxmlformats.org/officeDocument/2006/relationships/hyperlink" Target="http://www.lse.ac.uk/GranthamInstitute/wp-content/uploads/laws/1200.pdf" TargetMode="External"/><Relationship Id="rId118" Type="http://schemas.openxmlformats.org/officeDocument/2006/relationships/hyperlink" Target="http://www.lse.ac.uk/GranthamInstitute/wp-content/uploads/2018/02/EU-life-CELEX3A32013R12933AEN3ATXT.pdf" TargetMode="External"/><Relationship Id="rId117" Type="http://schemas.openxmlformats.org/officeDocument/2006/relationships/hyperlink" Target="https://eur-lex.europa.eu/legal-content/EN/TXT/?qid=1516647740078&amp;uri=CELEX:32013R1293" TargetMode="External"/><Relationship Id="rId116" Type="http://schemas.openxmlformats.org/officeDocument/2006/relationships/hyperlink" Target="https://eur-lex.europa.eu/legal-content/EN/TXT/?qid=1516647740078&amp;uri=CELEX:32013R1293%7Cen" TargetMode="External"/><Relationship Id="rId115" Type="http://schemas.openxmlformats.org/officeDocument/2006/relationships/hyperlink" Target="http://www.lse.ac.uk/GranthamInstitute/wp-content/uploads/2018/02/living-well-planet-EU-CELEX3A32013D13863AEN3ATXT.pdf" TargetMode="External"/><Relationship Id="rId119" Type="http://schemas.openxmlformats.org/officeDocument/2006/relationships/hyperlink" Target="https://ec.europa.eu/info/strategy/priorities-2019-2024/european-green-deal_en" TargetMode="External"/><Relationship Id="rId15" Type="http://schemas.openxmlformats.org/officeDocument/2006/relationships/hyperlink" Target="https://cambioclimatico.go.cr/wp-content/uploads/2019/02/PLAN.pdf" TargetMode="External"/><Relationship Id="rId110" Type="http://schemas.openxmlformats.org/officeDocument/2006/relationships/hyperlink" Target="http://eur-lex.europa.eu/legal-content/EN/TXT/?qid=1516634095318&amp;uri=CELEX:32008R0106%7Cen" TargetMode="External"/><Relationship Id="rId14" Type="http://schemas.openxmlformats.org/officeDocument/2006/relationships/hyperlink" Target="https://cambioclimatico.go.cr/metas/descarbonizacion/programa-pais-carbono-neutral-version-2-0/" TargetMode="External"/><Relationship Id="rId17" Type="http://schemas.openxmlformats.org/officeDocument/2006/relationships/hyperlink" Target="https://sepse.go.cr/documentos/Plan_de_accion_institucional_para_hidrogeno.pdf" TargetMode="External"/><Relationship Id="rId16" Type="http://schemas.openxmlformats.org/officeDocument/2006/relationships/hyperlink" Target="https://www.scribd.com/document/400404187/Decarbonization-Plan-Costa-Rica" TargetMode="External"/><Relationship Id="rId19" Type="http://schemas.openxmlformats.org/officeDocument/2006/relationships/hyperlink" Target="http://www.pgrweb.go.cr/scij/Busqueda/Normativa/Normas/nrm_texto_completo.aspx?nValor1=1&amp;nValor2=68011" TargetMode="External"/><Relationship Id="rId114" Type="http://schemas.openxmlformats.org/officeDocument/2006/relationships/hyperlink" Target="http://eur-lex.europa.eu/legal-content/EN/TXT/?qid=1516647740078&amp;uri=CELEX:32013D1386" TargetMode="External"/><Relationship Id="rId18" Type="http://schemas.openxmlformats.org/officeDocument/2006/relationships/hyperlink" Target="http://www.pgrweb.go.cr/scij/Busqueda/Normativa/Normas/nrm_texto_completo.aspx?nValor1=1&amp;nValor2=68011%7Ces" TargetMode="External"/><Relationship Id="rId113" Type="http://schemas.openxmlformats.org/officeDocument/2006/relationships/hyperlink" Target="http://eur-lex.europa.eu/legal-content/EN/TXT/?qid=1516647740078&amp;uri=CELEX:32013D1386%7Cen" TargetMode="External"/><Relationship Id="rId112" Type="http://schemas.openxmlformats.org/officeDocument/2006/relationships/hyperlink" Target="http://www.lse.ac.uk/GranthamInstitute/wp-content/uploads/2018/02/labelling-office-EU-CELEX3A32008R01063AEN3ATXT.pdf" TargetMode="External"/><Relationship Id="rId111" Type="http://schemas.openxmlformats.org/officeDocument/2006/relationships/hyperlink" Target="http://eur-lex.europa.eu/legal-content/EN/TXT/?qid=1516634095318&amp;uri=CELEX:32008R0106" TargetMode="External"/><Relationship Id="rId84" Type="http://schemas.openxmlformats.org/officeDocument/2006/relationships/hyperlink" Target="https://ec.europa.eu/energy/sites/ener/files/documents/ee_final_necp_main_ee.pdf" TargetMode="External"/><Relationship Id="rId83" Type="http://schemas.openxmlformats.org/officeDocument/2006/relationships/hyperlink" Target="https://ec.europa.eu/energy/sites/ener/files/documents/ee_final_necp_main_en.pdf" TargetMode="External"/><Relationship Id="rId86" Type="http://schemas.openxmlformats.org/officeDocument/2006/relationships/hyperlink" Target="https://ec.europa.eu/info/publications/proposal-council-implementing-decision-approval-assessment-recovery-and-resilience-plan-estonia-and-annex_en" TargetMode="External"/><Relationship Id="rId85" Type="http://schemas.openxmlformats.org/officeDocument/2006/relationships/hyperlink" Target="https://ec.europa.eu/info/business-economy-euro/recovery-coronavirus/recovery-and-resilience-facility/estonias-recovery-and-resilience-plan_en" TargetMode="External"/><Relationship Id="rId88" Type="http://schemas.openxmlformats.org/officeDocument/2006/relationships/hyperlink" Target="https://ec.europa.eu/info/sites/default/files/factsheet-estonia_en.pdf" TargetMode="External"/><Relationship Id="rId150" Type="http://schemas.openxmlformats.org/officeDocument/2006/relationships/hyperlink" Target="https://climate-laws.org/rails/active_storage/blobs/eyJfcmFpbHMiOnsibWVzc2FnZSI6IkJBaHBBaFVKIiwiZXhwIjpudWxsLCJwdXIiOiJibG9iX2lkIn19--c7954fbf25d682315d56861619ad2c0e4c824984/f" TargetMode="External"/><Relationship Id="rId87" Type="http://schemas.openxmlformats.org/officeDocument/2006/relationships/hyperlink" Target="https://rrf.ee" TargetMode="External"/><Relationship Id="rId89" Type="http://schemas.openxmlformats.org/officeDocument/2006/relationships/hyperlink" Target="https://ec.europa.eu/info/files/estonias-recovery-and-resilience-plan_en" TargetMode="External"/><Relationship Id="rId80" Type="http://schemas.openxmlformats.org/officeDocument/2006/relationships/hyperlink" Target="http://www.lse.ac.uk/GranthamInstitute/wp-content/uploads/laws/1171b.pdf" TargetMode="External"/><Relationship Id="rId82" Type="http://schemas.openxmlformats.org/officeDocument/2006/relationships/hyperlink" Target="http://www.lse.ac.uk/GranthamInstitute/wp-content/uploads/laws/1171d.pdf" TargetMode="External"/><Relationship Id="rId81" Type="http://schemas.openxmlformats.org/officeDocument/2006/relationships/hyperlink" Target="http://www.lse.ac.uk/GranthamInstitute/wp-content/uploads/laws/1171c.pdf" TargetMode="External"/><Relationship Id="rId1" Type="http://schemas.openxmlformats.org/officeDocument/2006/relationships/hyperlink" Target="https://climate-laws.org/rails/active_storage/blobs/eyJfcmFpbHMiOnsibWVzc2FnZSI6IkJBaHBBcEVJIiwiZXhwIjpudWxsLCJwdXIiOiJibG9iX2lkIn19--8cff2b7cb1c14232beae785bc03c90cbf3627506/f" TargetMode="External"/><Relationship Id="rId2" Type="http://schemas.openxmlformats.org/officeDocument/2006/relationships/hyperlink" Target="https://climate-laws.org/rails/active_storage/blobs/eyJfcmFpbHMiOnsibWVzc2FnZSI6IkJBaHBBb0FLIiwiZXhwIjpudWxsLCJwdXIiOiJibG9iX2lkIn19--a10892e8c88b573e48f7133587cf1f2215dae7bc/1130%20new%20plan.pdf" TargetMode="External"/><Relationship Id="rId3" Type="http://schemas.openxmlformats.org/officeDocument/2006/relationships/hyperlink" Target="https://climate-laws.org/rails/active_storage/blobs/eyJfcmFpbHMiOnsibWVzc2FnZSI6IkJBaHBBdklGIiwiZXhwIjpudWxsLCJwdXIiOiJibG9iX2lkIn19--63f8fb1e2503f77be0a47fce99825aff44876cbf/f" TargetMode="External"/><Relationship Id="rId149" Type="http://schemas.openxmlformats.org/officeDocument/2006/relationships/hyperlink" Target="https://ec.europa.eu/info/sites/default/files/joint_communication_global_gateway.pdf" TargetMode="External"/><Relationship Id="rId4" Type="http://schemas.openxmlformats.org/officeDocument/2006/relationships/hyperlink" Target="https://climate-laws.org/rails/active_storage/blobs/eyJfcmFpbHMiOnsibWVzc2FnZSI6IkJBaHBBdk1GIiwiZXhwIjpudWxsLCJwdXIiOiJibG9iX2lkIn19--e0cd532446a425be46919aedf424793349e620cc/f" TargetMode="External"/><Relationship Id="rId148" Type="http://schemas.openxmlformats.org/officeDocument/2006/relationships/hyperlink" Target="https://ec.europa.eu/info/strategy/priorities-2019-2024/stronger-europe-world/global-gateway_en" TargetMode="External"/><Relationship Id="rId9" Type="http://schemas.openxmlformats.org/officeDocument/2006/relationships/hyperlink" Target="http://www.pgrweb.go.cr/scij/Busqueda/Normativa/Normas/nrm_texto_completo.aspx?param1=NRTC&amp;nValor1=1&amp;nValor2=92387&amp;nValor3=122303&amp;strTipM=TC%7C" TargetMode="External"/><Relationship Id="rId143" Type="http://schemas.openxmlformats.org/officeDocument/2006/relationships/hyperlink" Target="https://eur-lex.europa.eu/legal-content/EN/TXT/?uri=uriserv:OJ.L_.2019.133.01.0001.01.ENG&amp;toc=OJ:L:2019:133:TOC%7Cen" TargetMode="External"/><Relationship Id="rId142" Type="http://schemas.openxmlformats.org/officeDocument/2006/relationships/hyperlink" Target="https://eur-lex.europa.eu/legal-content/EN/TXT/?uri=CELEX%3A32018L2001" TargetMode="External"/><Relationship Id="rId141" Type="http://schemas.openxmlformats.org/officeDocument/2006/relationships/hyperlink" Target="https://eur-lex.europa.eu/legal-content/EN/TXT/?uri=CELEX%3A32018L2001%7Cen" TargetMode="External"/><Relationship Id="rId140" Type="http://schemas.openxmlformats.org/officeDocument/2006/relationships/hyperlink" Target="https://eur-lex.europa.eu/legal-content/en/TXT/?uri=CELEX%3A52016DC0501" TargetMode="External"/><Relationship Id="rId5" Type="http://schemas.openxmlformats.org/officeDocument/2006/relationships/hyperlink" Target="http://www.digeca.go.cr/sites/default/files/documentos/politica_nacional_de_produccion_y_consumo_sostenibles.pdf" TargetMode="External"/><Relationship Id="rId147" Type="http://schemas.openxmlformats.org/officeDocument/2006/relationships/hyperlink" Target="https://ec.europa.eu/info/publications/sustainable-finance-renewed-strategy_nl" TargetMode="External"/><Relationship Id="rId6" Type="http://schemas.openxmlformats.org/officeDocument/2006/relationships/hyperlink" Target="https://climate-laws.org/rails/active_storage/blobs/eyJfcmFpbHMiOnsibWVzc2FnZSI6IkJBaHBBdXdGIiwiZXhwIjpudWxsLCJwdXIiOiJibG9iX2lkIn19--5d5948869f89b0caed759c08b5763599571ec2cc/f" TargetMode="External"/><Relationship Id="rId146" Type="http://schemas.openxmlformats.org/officeDocument/2006/relationships/hyperlink" Target="https://eur-lex.europa.eu/legal-content/EN/TXT/?uri=CELEX:52018DC0097" TargetMode="External"/><Relationship Id="rId7" Type="http://schemas.openxmlformats.org/officeDocument/2006/relationships/hyperlink" Target="http://www.pgrweb.go.cr/scij/Busqueda/Normativa/Normas/nrm_texto_completo.aspx?param1=NRTC&amp;nValor1=1&amp;nValor2=85810&amp;nValor3=111104&amp;strTipM=TC%7C" TargetMode="External"/><Relationship Id="rId145" Type="http://schemas.openxmlformats.org/officeDocument/2006/relationships/hyperlink" Target="https://eur-lex.europa.eu/legal-content/EN/TXT/?uri=CELEX:52018DC0097%7Cen" TargetMode="External"/><Relationship Id="rId8" Type="http://schemas.openxmlformats.org/officeDocument/2006/relationships/hyperlink" Target="http://www.pgrweb.go.cr/scij/Busqueda/Normativa/Normas/nrm_texto_completo.aspx?param1=NRTC&amp;nValor1=1&amp;nValor2=85810&amp;nValor3=111104&amp;strTipM=TC" TargetMode="External"/><Relationship Id="rId144" Type="http://schemas.openxmlformats.org/officeDocument/2006/relationships/hyperlink" Target="https://eur-lex.europa.eu/legal-content/EN/TXT/?uri=uriserv:OJ.L_.2019.133.01.0001.01.ENG&amp;toc=OJ:L:2019:133:TOC" TargetMode="External"/><Relationship Id="rId73" Type="http://schemas.openxmlformats.org/officeDocument/2006/relationships/hyperlink" Target="https://climate-laws.org/rails/active_storage/blobs/eyJfcmFpbHMiOnsibWVzc2FnZSI6IkJBaHBBbllNIiwiZXhwIjpudWxsLCJwdXIiOiJibG9iX2lkIn19--e6fc855a98bae9f1f1a4a1a34f627cc9a59b44e9/REGLAMENTO-LEY-57-07.pdf" TargetMode="External"/><Relationship Id="rId72" Type="http://schemas.openxmlformats.org/officeDocument/2006/relationships/hyperlink" Target="https://climate-laws.org/rails/active_storage/blobs/eyJfcmFpbHMiOnsibWVzc2FnZSI6IkJBaHBBblVNIiwiZXhwIjpudWxsLCJwdXIiOiJibG9iX2lkIn19--48ba644621e961265f1577ade3f823fade6b81e8/Ley-57-07-sobre-Energia-Renovable.pdf" TargetMode="External"/><Relationship Id="rId75" Type="http://schemas.openxmlformats.org/officeDocument/2006/relationships/hyperlink" Target="https://climate-laws.org/rails/active_storage/blobs/eyJfcmFpbHMiOnsibWVzc2FnZSI6IkJBaHBBb0lLIiwiZXhwIjpudWxsLCJwdXIiOiJibG9iX2lkIn19--93417408deb735da6db17c698c27010a41a2fa6a/1167%20-%20regulation.pdf" TargetMode="External"/><Relationship Id="rId74" Type="http://schemas.openxmlformats.org/officeDocument/2006/relationships/hyperlink" Target="http://www.lse.ac.uk/GranthamInstitute/wp-content/uploads/laws/1167.pdf" TargetMode="External"/><Relationship Id="rId77" Type="http://schemas.openxmlformats.org/officeDocument/2006/relationships/hyperlink" Target="https://climate-laws.org/rails/active_storage/blobs/eyJfcmFpbHMiOnsibWVzc2FnZSI6IkJBaHBBb01LIiwiZXhwIjpudWxsLCJwdXIiOiJibG9iX2lkIn19--85e3c6e16bf83f74cf006f1f16a0b00e762d0d62/1169%20-%20new%202017-2021%20plan.pdf" TargetMode="External"/><Relationship Id="rId76" Type="http://schemas.openxmlformats.org/officeDocument/2006/relationships/hyperlink" Target="https://climate-laws.org/rails/active_storage/blobs/eyJfcmFpbHMiOnsibWVzc2FnZSI6IkJBaHBBbjBJIiwiZXhwIjpudWxsLCJwdXIiOiJibG9iX2lkIn19--fd50486767f78bb3011b53da727d3823c1d33e62/f" TargetMode="External"/><Relationship Id="rId79" Type="http://schemas.openxmlformats.org/officeDocument/2006/relationships/hyperlink" Target="http://www.lse.ac.uk/GranthamInstitute/wp-content/uploads/laws/1171a.pdf" TargetMode="External"/><Relationship Id="rId78" Type="http://schemas.openxmlformats.org/officeDocument/2006/relationships/hyperlink" Target="http://www.lse.ac.uk/GranthamInstitute/wp-content/uploads/laws/1169.pdf" TargetMode="External"/><Relationship Id="rId71" Type="http://schemas.openxmlformats.org/officeDocument/2006/relationships/hyperlink" Target="https://fm.dk/nyheder/nyhedsarkiv/2021/april/dansk-genopretningsplan-skal-understoette-den-groenne-omstilling/" TargetMode="External"/><Relationship Id="rId70" Type="http://schemas.openxmlformats.org/officeDocument/2006/relationships/hyperlink" Target="https://ec.europa.eu/info/files/factsheet-denmarks-recovery-and-resilience-plan_en" TargetMode="External"/><Relationship Id="rId139" Type="http://schemas.openxmlformats.org/officeDocument/2006/relationships/hyperlink" Target="https://eur-lex.europa.eu/legal-content/en/TXT/?uri=CELEX%3A52016DC0501%7Cen" TargetMode="External"/><Relationship Id="rId138" Type="http://schemas.openxmlformats.org/officeDocument/2006/relationships/hyperlink" Target="https://climate-laws.org/rails/active_storage/blobs/eyJfcmFpbHMiOnsibWVzc2FnZSI6IkJBaHBBdndNIiwiZXhwIjpudWxsLCJwdXIiOiJibG9iX2lkIn19--e6d187624e31d74b4ed213b44820c4bb9cd46938/stratlowcarbtranspEU.pdf" TargetMode="External"/><Relationship Id="rId137" Type="http://schemas.openxmlformats.org/officeDocument/2006/relationships/hyperlink" Target="https://eur-lex.europa.eu/legal-content/EN/TXT/?uri=CELEX%3A32021R0241&amp;qid=1616507861922" TargetMode="External"/><Relationship Id="rId132" Type="http://schemas.openxmlformats.org/officeDocument/2006/relationships/hyperlink" Target="https://eur-lex.europa.eu/legal-content/EN/TXT/?uri=COM%3A2020%3A442%3AFIN%7Cen" TargetMode="External"/><Relationship Id="rId131" Type="http://schemas.openxmlformats.org/officeDocument/2006/relationships/hyperlink" Target="https://eur-lex.europa.eu/legal-content/EN/TXT/?uri=CELEX:32020R0852" TargetMode="External"/><Relationship Id="rId130" Type="http://schemas.openxmlformats.org/officeDocument/2006/relationships/hyperlink" Target="https://eur-lex.europa.eu/legal-content/EN/TXT/?uri=CELEX:32020R0852%7Cen" TargetMode="External"/><Relationship Id="rId136" Type="http://schemas.openxmlformats.org/officeDocument/2006/relationships/hyperlink" Target="https://eur-lex.europa.eu/legal-content/EN/TXT/?uri=CELEX%3A32021R0241&amp;qid=1616507861922%7Cen" TargetMode="External"/><Relationship Id="rId135" Type="http://schemas.openxmlformats.org/officeDocument/2006/relationships/hyperlink" Target="https://www.consilium.europa.eu/en/policies/eu-recovery-plan/" TargetMode="External"/><Relationship Id="rId134" Type="http://schemas.openxmlformats.org/officeDocument/2006/relationships/hyperlink" Target="https://www.consilium.europa.eu/media/45109/210720-euco-final-conclusions-en.pdf" TargetMode="External"/><Relationship Id="rId133" Type="http://schemas.openxmlformats.org/officeDocument/2006/relationships/hyperlink" Target="https://eur-lex.europa.eu/legal-content/EN/TXT/?uri=COM%3A2020%3A442%3AFIN" TargetMode="External"/><Relationship Id="rId62" Type="http://schemas.openxmlformats.org/officeDocument/2006/relationships/hyperlink" Target="https://www.retsinformation.dk/Forms/R0710.aspx?id=212795%7Cda" TargetMode="External"/><Relationship Id="rId61" Type="http://schemas.openxmlformats.org/officeDocument/2006/relationships/hyperlink" Target="https://www.retsinformation.dk/Forms/R0710.aspx?id=137888" TargetMode="External"/><Relationship Id="rId64" Type="http://schemas.openxmlformats.org/officeDocument/2006/relationships/hyperlink" Target="https://www.retsinformation.dk/Forms/R0710.aspx?id=185842%7Cda" TargetMode="External"/><Relationship Id="rId63" Type="http://schemas.openxmlformats.org/officeDocument/2006/relationships/hyperlink" Target="https://www.retsinformation.dk/Forms/R0710.aspx?id=212795" TargetMode="External"/><Relationship Id="rId66" Type="http://schemas.openxmlformats.org/officeDocument/2006/relationships/hyperlink" Target="https://ec.europa.eu/info/business-economy-euro/recovery-coronavirus/recovery-and-resilience-facility/denmarks-recovery-and-resilience-plan_en" TargetMode="External"/><Relationship Id="rId65" Type="http://schemas.openxmlformats.org/officeDocument/2006/relationships/hyperlink" Target="https://www.retsinformation.dk/Forms/R0710.aspx?id=185842" TargetMode="External"/><Relationship Id="rId68" Type="http://schemas.openxmlformats.org/officeDocument/2006/relationships/hyperlink" Target="https://www.consilium.europa.eu/en/documents-publications/public-register/public-register-search/results/?WordsInSubject=&amp;WordsInText=&amp;DocumentNumber=10154%2F21&amp;InterinstitutionalFiles=&amp;DocumentDateFrom=&amp;DocumentDateTo=&amp;MeetingDateFrom=&amp;MeetingDateTo=&amp;DocumentLanguage=EN&amp;OrderBy=DOCUMENT_DATE+DESC&amp;ctl00%24ctl00%24cpMain%24cpMain%24btnSubmit=%7Cen" TargetMode="External"/><Relationship Id="rId67" Type="http://schemas.openxmlformats.org/officeDocument/2006/relationships/hyperlink" Target="https://ec.europa.eu/info/business-economy-euro/recovery-coronavirus/recovery-and-resilience-facility/denmarks-recovery-and-resilience-plan_en" TargetMode="External"/><Relationship Id="rId60" Type="http://schemas.openxmlformats.org/officeDocument/2006/relationships/hyperlink" Target="https://www.retsinformation.dk/Forms/R0710.aspx?id=137888%7Cda" TargetMode="External"/><Relationship Id="rId165" Type="http://schemas.openxmlformats.org/officeDocument/2006/relationships/hyperlink" Target="https://julkaisut.valtioneuvosto.fi/handle/10024/163176" TargetMode="External"/><Relationship Id="rId69" Type="http://schemas.openxmlformats.org/officeDocument/2006/relationships/hyperlink" Target="https://www.consilium.europa.eu/en/documents-publications/public-register/public-register-search/results/?WordsInSubject=&amp;WordsInText=&amp;DocumentNumber=10154%2F21&amp;InterinstitutionalFiles=&amp;DocumentDateFrom=&amp;DocumentDateTo=&amp;MeetingDateFrom=&amp;MeetingDateTo=&amp;DocumentLanguage=EN&amp;OrderBy=DOCUMENT_DATE+DESC&amp;ctl00%24ctl00%24cpMain%24cpMain%24btnSubmit=" TargetMode="External"/><Relationship Id="rId164" Type="http://schemas.openxmlformats.org/officeDocument/2006/relationships/hyperlink" Target="https://ec.europa.eu/info/publications/proposal-council-implementing-decision-approval-assessment-recovery-and-resilience-plan-finland-and-annex_en" TargetMode="External"/><Relationship Id="rId163" Type="http://schemas.openxmlformats.org/officeDocument/2006/relationships/hyperlink" Target="https://ec.europa.eu/info/business-economy-euro/recovery-coronavirus/recovery-and-resilience-facility/finlands-recovery-and-resilience-plan_en" TargetMode="External"/><Relationship Id="rId162" Type="http://schemas.openxmlformats.org/officeDocument/2006/relationships/hyperlink" Target="https://climate-laws.org/rails/active_storage/blobs/eyJfcmFpbHMiOnsibWVzc2FnZSI6IkJBaHBBa3NNIiwiZXhwIjpudWxsLCJwdXIiOiJibG9iX2lkIn19--d0968e03fdb340a7a398876c7084962fd6f8d414/Liite%20LTAE%20lis%C3%A4p%C3%B6yt%C3%A4kirjamerkinn%C3%A4t_EN.pdf" TargetMode="External"/><Relationship Id="rId168" Type="http://schemas.openxmlformats.org/officeDocument/2006/relationships/drawing" Target="../drawings/drawing15.xml"/><Relationship Id="rId167" Type="http://schemas.openxmlformats.org/officeDocument/2006/relationships/hyperlink" Target="https://climate-laws.org/rails/active_storage/blobs/eyJfcmFpbHMiOnsibWVzc2FnZSI6IkJBaHBBb29LIiwiZXhwIjpudWxsLCJwdXIiOiJibG9iX2lkIn19--05adc3df453ec3c6a100dfe7278578adaa76f66a/1229%20-%20EN%20translation.pdf" TargetMode="External"/><Relationship Id="rId166" Type="http://schemas.openxmlformats.org/officeDocument/2006/relationships/hyperlink" Target="https://climate-laws.org/rails/active_storage/blobs/eyJfcmFpbHMiOnsibWVzc2FnZSI6IkJBaHBBbmdJIiwiZXhwIjpudWxsLCJwdXIiOiJibG9iX2lkIn19--5a4a7054920d76c10f157188368c9b4899dc8fa5/f" TargetMode="External"/><Relationship Id="rId51" Type="http://schemas.openxmlformats.org/officeDocument/2006/relationships/hyperlink" Target="https://ec.europa.eu/info/business-economy-euro/recovery-coronavirus/recovery-and-resilience-facility/czechias-recovery-and-resilience-plan_en" TargetMode="External"/><Relationship Id="rId50" Type="http://schemas.openxmlformats.org/officeDocument/2006/relationships/hyperlink" Target="https://ec.europa.eu/info/business-economy-euro/recovery-coronavirus/recovery-and-resilience-facility/czechias-recovery-and-resilience-plan_en" TargetMode="External"/><Relationship Id="rId53" Type="http://schemas.openxmlformats.org/officeDocument/2006/relationships/hyperlink" Target="https://www.consilium.europa.eu/en/documents-publications/public-register/public-register-search/results/?WordsInSubject=&amp;WordsInText=&amp;DocumentNumber=11047%2F21&amp;InterinstitutionalFiles=&amp;DocumentDateFrom=&amp;DocumentDateTo=&amp;MeetingDateFrom=&amp;MeetingDateTo=&amp;DocumentLanguage=EN&amp;OrderBy=DOCUMENT_DATE+DESC&amp;ctl00%24ctl00%24cpMain%24cpMain%24btnSubmit=" TargetMode="External"/><Relationship Id="rId52" Type="http://schemas.openxmlformats.org/officeDocument/2006/relationships/hyperlink" Target="https://www.consilium.europa.eu/en/documents-publications/public-register/public-register-search/results/?WordsInSubject=&amp;WordsInText=&amp;DocumentNumber=11047%2F21&amp;InterinstitutionalFiles=&amp;DocumentDateFrom=&amp;DocumentDateTo=&amp;MeetingDateFrom=&amp;MeetingDateTo=&amp;DocumentLanguage=EN&amp;OrderBy=DOCUMENT_DATE+DESC&amp;ctl00%24ctl00%24cpMain%24cpMain%24btnSubmit=%7Cen" TargetMode="External"/><Relationship Id="rId55" Type="http://schemas.openxmlformats.org/officeDocument/2006/relationships/hyperlink" Target="https://ec.europa.eu/info/files/factsheet-czechias-recovery-and-resilience-plan_en" TargetMode="External"/><Relationship Id="rId161" Type="http://schemas.openxmlformats.org/officeDocument/2006/relationships/hyperlink" Target="https://budjetti.vm.fi/indox/index.jsp" TargetMode="External"/><Relationship Id="rId54" Type="http://schemas.openxmlformats.org/officeDocument/2006/relationships/hyperlink" Target="https://www.planobnovycr.cz" TargetMode="External"/><Relationship Id="rId160" Type="http://schemas.openxmlformats.org/officeDocument/2006/relationships/hyperlink" Target="https://climate-laws.org/rails/active_storage/blobs/eyJfcmFpbHMiOnsibWVzc2FnZSI6IkJBaHBBb2tLIiwiZXhwIjpudWxsLCJwdXIiOiJibG9iX2lkIn19--42ef35ba0fdd12aed153a8aeeaca7edd8705eb45/1227%20-%20EN%20translation.pdf" TargetMode="External"/><Relationship Id="rId57" Type="http://schemas.openxmlformats.org/officeDocument/2006/relationships/hyperlink" Target="http://www.lse.ac.uk/GranthamInstitute/wp-content/uploads/laws/3001_annex%20EN.pdf" TargetMode="External"/><Relationship Id="rId56" Type="http://schemas.openxmlformats.org/officeDocument/2006/relationships/hyperlink" Target="https://climate-laws.org/rails/active_storage/blobs/eyJfcmFpbHMiOnsibWVzc2FnZSI6IkJBaHBBaDRHIiwiZXhwIjpudWxsLCJwdXIiOiJibG9iX2lkIn19--d9811505585b4f8ee13c3f2acf3cd0c8580331f2/f" TargetMode="External"/><Relationship Id="rId159" Type="http://schemas.openxmlformats.org/officeDocument/2006/relationships/hyperlink" Target="http://www.lse.ac.uk/GranthamInstitute/wp-content/uploads/laws/1227.pdf" TargetMode="External"/><Relationship Id="rId59" Type="http://schemas.openxmlformats.org/officeDocument/2006/relationships/hyperlink" Target="https://www.retsinformation.dk/eli/lta/2020/965" TargetMode="External"/><Relationship Id="rId154" Type="http://schemas.openxmlformats.org/officeDocument/2006/relationships/hyperlink" Target="https://www.finlex.fi/en/laki/kaannokset/2010/en20100034_20150037.pdf" TargetMode="External"/><Relationship Id="rId58" Type="http://schemas.openxmlformats.org/officeDocument/2006/relationships/hyperlink" Target="https://climate-laws.org/rails/active_storage/blobs/eyJfcmFpbHMiOnsibWVzc2FnZSI6IkJBaHBBa2tOIiwiZXhwIjpudWxsLCJwdXIiOiJibG9iX2lkIn19--986ba52e9615a9b07611410f3bd6287ac58e5570/Climate%20Act_Denmark%20-%20WEBTILG%C3%86NGELIG-A.pdf" TargetMode="External"/><Relationship Id="rId153" Type="http://schemas.openxmlformats.org/officeDocument/2006/relationships/hyperlink" Target="https://climate-laws.org/rails/active_storage/blobs/eyJfcmFpbHMiOnsibWVzc2FnZSI6IkJBaHBBb1lLIiwiZXhwIjpudWxsLCJwdXIiOiJibG9iX2lkIn19--0d0f1c5d5b381956bb08a013b75483e979e88571/1223%20-%20EN%20translation.pdf" TargetMode="External"/><Relationship Id="rId152" Type="http://schemas.openxmlformats.org/officeDocument/2006/relationships/hyperlink" Target="http://www.lse.ac.uk/GranthamInstitute/wp-content/uploads/laws/1223.pdf" TargetMode="External"/><Relationship Id="rId151" Type="http://schemas.openxmlformats.org/officeDocument/2006/relationships/hyperlink" Target="http://www.ym.fi/en-US/The_environment/Legislation_and_instructions/Climate_change_legislation" TargetMode="External"/><Relationship Id="rId158" Type="http://schemas.openxmlformats.org/officeDocument/2006/relationships/hyperlink" Target="https://climate-laws.org/rails/active_storage/blobs/eyJfcmFpbHMiOnsibWVzc2FnZSI6IkJBaHBBb2dLIiwiZXhwIjpudWxsLCJwdXIiOiJibG9iX2lkIn19--209d650db9471daaa51ce0be5de557dbdb0abb00/1226%20-%20EN%20translation.pdf" TargetMode="External"/><Relationship Id="rId157" Type="http://schemas.openxmlformats.org/officeDocument/2006/relationships/hyperlink" Target="http://www.lse.ac.uk/GranthamInstitute/wp-content/uploads/laws/1226.pdf" TargetMode="External"/><Relationship Id="rId156" Type="http://schemas.openxmlformats.org/officeDocument/2006/relationships/hyperlink" Target="https://climate-laws.org/rails/active_storage/blobs/eyJfcmFpbHMiOnsibWVzc2FnZSI6IkJBaHBBb2NLIiwiZXhwIjpudWxsLCJwdXIiOiJibG9iX2lkIn19--e23ae9cbfb453ec862ea5535ab281101acbd67c5/1224%20-%20EN%20translation.pdf" TargetMode="External"/><Relationship Id="rId155" Type="http://schemas.openxmlformats.org/officeDocument/2006/relationships/hyperlink" Target="http://www.lse.ac.uk/GranthamInstitute/wp-content/uploads/laws/1224.pdf"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40" Type="http://schemas.openxmlformats.org/officeDocument/2006/relationships/hyperlink" Target="https://www.legislation.gov.uk/uksi/2018/1155/made" TargetMode="External"/><Relationship Id="rId42" Type="http://schemas.openxmlformats.org/officeDocument/2006/relationships/hyperlink" Target="https://www.gov.uk/government/publications/net-zero-strategy" TargetMode="External"/><Relationship Id="rId41" Type="http://schemas.openxmlformats.org/officeDocument/2006/relationships/hyperlink" Target="https://www.legislation.gov.uk/ukpga/2014/21/part/4/enacted" TargetMode="External"/><Relationship Id="rId44" Type="http://schemas.openxmlformats.org/officeDocument/2006/relationships/hyperlink" Target="https://www.govtrack.us/congress/bills/116/hr133/text" TargetMode="External"/><Relationship Id="rId43" Type="http://schemas.openxmlformats.org/officeDocument/2006/relationships/hyperlink" Target="https://assets.publishing.service.gov.uk/government/uploads/system/uploads/attachment_data/file/1033990/net-zero-strategy-beis.pdf" TargetMode="External"/><Relationship Id="rId46" Type="http://schemas.openxmlformats.org/officeDocument/2006/relationships/hyperlink" Target="https://www.epa.gov/system/files/documents/2021-09/san-8458-preamble-092221-prepub-with-header.pdf" TargetMode="External"/><Relationship Id="rId45" Type="http://schemas.openxmlformats.org/officeDocument/2006/relationships/hyperlink" Target="https://www.epa.gov/climate-hfcs-reduction/final-rule-phasedown-hydrofluorocarbons-establishing-allowance-allocation" TargetMode="External"/><Relationship Id="rId107"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 TargetMode="External"/><Relationship Id="rId106"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7C" TargetMode="External"/><Relationship Id="rId105" Type="http://schemas.openxmlformats.org/officeDocument/2006/relationships/hyperlink" Target="http://rema.gov.rw/rema_doc/Laws/Itegeko%20rishya%20rya%20REMA.pdf(6-mar-18),http://www.lse.ac.uk/GranthamInstitute/rwanda-law-itegeko-rishya-rya-rema/(6-mar-18)" TargetMode="External"/><Relationship Id="rId104" Type="http://schemas.openxmlformats.org/officeDocument/2006/relationships/hyperlink" Target="http://rema.gov.rw/rema_doc/Laws/Itegeko%20rishya%20rya%20REMA.pdf(6-mar-18),http://www.lse.ac.uk/GranthamInstitute/rwanda-law-itegeko-rishya-rya-rema/(6-mar-18)" TargetMode="External"/><Relationship Id="rId109"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 TargetMode="External"/><Relationship Id="rId108"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7C" TargetMode="External"/><Relationship Id="rId48" Type="http://schemas.openxmlformats.org/officeDocument/2006/relationships/hyperlink" Target="https://www.doi.gov/pressreleases/interior-department-suspends-oil-and-gas-leases-arctic-national-wildlife-refuge" TargetMode="External"/><Relationship Id="rId47" Type="http://schemas.openxmlformats.org/officeDocument/2006/relationships/hyperlink" Target="https://www.whitehouse.gov/briefing-room/presidential-actions/2021/01/20/executive-order-protecting-public-health-and-environment-and-restoring-science-to-tackle-climate-crisis/" TargetMode="External"/><Relationship Id="rId49" Type="http://schemas.openxmlformats.org/officeDocument/2006/relationships/hyperlink" Target="https://www.whitehouse.gov/briefing-room/presidential-actions/2021/08/05/executive-order-on-strengthening-american-leadership-in-clean-cars-and-trucks/" TargetMode="External"/><Relationship Id="rId103" Type="http://schemas.openxmlformats.org/officeDocument/2006/relationships/hyperlink" Target="http://www.asrm.ro/pdf/noutati/noutati_legislative-octombrie-2016/HG%20739_2016%20strategie%20schimbari%20climatice.pdf(6-mar-18),http://mmediu.ro/categorie/strategia-nationala-privind-schimbarile-climatice-rezumat/171(6-mar-18)," TargetMode="External"/><Relationship Id="rId102" Type="http://schemas.openxmlformats.org/officeDocument/2006/relationships/hyperlink" Target="http://www.asrm.ro/pdf/noutati/noutati_legislative-octombrie-2016/HG%20739_2016%20strategie%20schimbari%20climatice.pdf(6-mar-18),http://mmediu.ro/categorie/strategia-nationala-privind-schimbarile-climatice-rezumat/171(6-mar-18)," TargetMode="External"/><Relationship Id="rId101" Type="http://schemas.openxmlformats.org/officeDocument/2006/relationships/hyperlink" Target="https://www.rijksoverheid.nl/ministeries/ministerie-van-economische-zaken-en-klimaat/documenten/kamerstukken/2018/03/27/kamerbrief-routekaart-windenergie-op-zee-2030(27-apr-18),https://english.rvo.nl/sites/default/files/2018/03/Brief%20routekaart%20windenergie%20op%20zee%202024-2030%20-%20EN.pdf(27-apr-18)" TargetMode="External"/><Relationship Id="rId100" Type="http://schemas.openxmlformats.org/officeDocument/2006/relationships/hyperlink" Target="https://www.rijksoverheid.nl/ministeries/ministerie-van-economische-zaken-en-klimaat/documenten/kamerstukken/2018/03/27/kamerbrief-routekaart-windenergie-op-zee-2030(27-apr-18),https://english.rvo.nl/sites/default/files/2018/03/Brief%20routekaart%20windenergie%20op%20zee%202024-2030%20-%20EN.pdf(27-apr-18)" TargetMode="External"/><Relationship Id="rId31" Type="http://schemas.openxmlformats.org/officeDocument/2006/relationships/hyperlink" Target="https://climate-laws.org/rails/active_storage/blobs/eyJfcmFpbHMiOnsibWVzc2FnZSI6IkJBaHBBZ0VJIiwiZXhwIjpudWxsLCJwdXIiOiJibG9iX2lkIn19--5dd3b935d04997695ecd47cda29a466eca1e522f/f" TargetMode="External"/><Relationship Id="rId30" Type="http://schemas.openxmlformats.org/officeDocument/2006/relationships/hyperlink" Target="https://climate-laws.org/rails/active_storage/blobs/eyJfcmFpbHMiOnsibWVzc2FnZSI6IkJBaHBBbGdJIiwiZXhwIjpudWxsLCJwdXIiOiJibG9iX2lkIn19--abc45229948a7e85004f685351f56a30b97ddd56/f" TargetMode="External"/><Relationship Id="rId33" Type="http://schemas.openxmlformats.org/officeDocument/2006/relationships/hyperlink" Target="https://climate-laws.org/rails/active_storage/blobs/eyJfcmFpbHMiOnsibWVzc2FnZSI6IkJBaHBBaTRNIiwiZXhwIjpudWxsLCJwdXIiOiJibG9iX2lkIn19--dd061ead25f2900bf67939ad9e61b71a6e1aa58c/cycling-walking-investment-strategy.pdf" TargetMode="External"/><Relationship Id="rId32" Type="http://schemas.openxmlformats.org/officeDocument/2006/relationships/hyperlink" Target="https://www.ogauthority.co.uk/news-publications/news/2021/revised-oga-strategy-comes-into-force/" TargetMode="External"/><Relationship Id="rId35" Type="http://schemas.openxmlformats.org/officeDocument/2006/relationships/hyperlink" Target="https://climate-laws.org/rails/active_storage/blobs/eyJfcmFpbHMiOnsibWVzc2FnZSI6IkJBaHBBa29NIiwiZXhwIjpudWxsLCJwdXIiOiJibG9iX2lkIn19--2e6c4899b2ce6e7b9b7f24c03ce9c9e5a05fa0dd/gear-change-a-bold-vision-for-cycling-and-walking.pdf" TargetMode="External"/><Relationship Id="rId34" Type="http://schemas.openxmlformats.org/officeDocument/2006/relationships/hyperlink" Target="https://www.gov.uk/government/news/2-billion-package-to-create-new-era-for-cycling-and-walking" TargetMode="External"/><Relationship Id="rId37" Type="http://schemas.openxmlformats.org/officeDocument/2006/relationships/hyperlink" Target="https://www.legislation.gov.uk/ukpga/2015/7/contents/enacted" TargetMode="External"/><Relationship Id="rId36" Type="http://schemas.openxmlformats.org/officeDocument/2006/relationships/hyperlink" Target="https://www.gov.uk/government/news/pm-kickstarts-2bn-cycling-and-walking-revolution" TargetMode="External"/><Relationship Id="rId39" Type="http://schemas.openxmlformats.org/officeDocument/2006/relationships/hyperlink" Target="https://www.gov.uk/government/publications/academy-trust-financial-management-good-practice-guides/streamlined-energy-and-carbon-reporting" TargetMode="External"/><Relationship Id="rId38" Type="http://schemas.openxmlformats.org/officeDocument/2006/relationships/hyperlink" Target="https://climate-laws.org/rails/active_storage/blobs/eyJfcmFpbHMiOnsibWVzc2FnZSI6IkJBaHBBbjhOIiwiZXhwIjpudWxsLCJwdXIiOiJibG9iX2lkIn19--41786a1d617a912d7cb5537497b2299e42e8f1ae/infras%20act%2015%20uk.pdf" TargetMode="External"/><Relationship Id="rId20" Type="http://schemas.openxmlformats.org/officeDocument/2006/relationships/hyperlink" Target="https://www.gov.uk/feed-in-tariffs" TargetMode="External"/><Relationship Id="rId22" Type="http://schemas.openxmlformats.org/officeDocument/2006/relationships/hyperlink" Target="http://www.legislation.gov.uk/uksi/2020/375/introduction/made" TargetMode="External"/><Relationship Id="rId21" Type="http://schemas.openxmlformats.org/officeDocument/2006/relationships/hyperlink" Target="https://www.ofgem.gov.uk/environmental-programmes/fit" TargetMode="External"/><Relationship Id="rId24" Type="http://schemas.openxmlformats.org/officeDocument/2006/relationships/hyperlink" Target="https://www.theccc.org.uk/publication/sixth-carbon-budget/" TargetMode="External"/><Relationship Id="rId23" Type="http://schemas.openxmlformats.org/officeDocument/2006/relationships/hyperlink" Target="https://www.legislation.gov.uk/ukpga/2008/27/contents" TargetMode="External"/><Relationship Id="rId128" Type="http://schemas.openxmlformats.org/officeDocument/2006/relationships/drawing" Target="../drawings/drawing17.xml"/><Relationship Id="rId127" Type="http://schemas.openxmlformats.org/officeDocument/2006/relationships/hyperlink" Target="http://www.resmigazete.gov.tr/eskiler/2011/07/20110704M1-1.htm(12-mar-18),http://www.resmigazete.gov.tr/eskiler/2011/08/20110817-1-1.htm(12-mar-18),http://www.resmigazete.gov.tr/eskiler/2018/01/20180104-2.htm(7-mar-18)" TargetMode="External"/><Relationship Id="rId126" Type="http://schemas.openxmlformats.org/officeDocument/2006/relationships/hyperlink" Target="http://www.resmigazete.gov.tr/eskiler/2011/07/20110704M1-1.htm(12-mar-18),http://www.resmigazete.gov.tr/eskiler/2011/08/20110817-1-1.htm(12-mar-18),http://www.resmigazete.gov.tr/eskiler/2018/01/20180104-2.htm(7-mar-18)" TargetMode="External"/><Relationship Id="rId26" Type="http://schemas.openxmlformats.org/officeDocument/2006/relationships/hyperlink" Target="https://www.gov.uk/government/publications/contracts-for-difference/contract-for-difference" TargetMode="External"/><Relationship Id="rId121" Type="http://schemas.openxmlformats.org/officeDocument/2006/relationships/hyperlink" Target="https://law.moj.gov.tw/LawClass/LawContent.aspx?PCODE=J0130032(12-mar-18),http://law.moj.gov.tw/Eng/LawClass/LawAll.aspx?PCode=J0130032(12-mar-18)%7C" TargetMode="External"/><Relationship Id="rId25" Type="http://schemas.openxmlformats.org/officeDocument/2006/relationships/hyperlink" Target="https://www.legislation.gov.uk/ukpga/2013/32/contents/enacted" TargetMode="External"/><Relationship Id="rId120" Type="http://schemas.openxmlformats.org/officeDocument/2006/relationships/hyperlink" Target="https://law.moj.gov.tw/LawClass/LawAll.aspx?pcode=J0130032" TargetMode="External"/><Relationship Id="rId28" Type="http://schemas.openxmlformats.org/officeDocument/2006/relationships/hyperlink" Target="https://www.gov.uk/guidance/climate-change-agreements--2" TargetMode="External"/><Relationship Id="rId27" Type="http://schemas.openxmlformats.org/officeDocument/2006/relationships/hyperlink" Target="https://www.legislation.gov.uk/uksi/2020/958/contents/made" TargetMode="External"/><Relationship Id="rId125" Type="http://schemas.openxmlformats.org/officeDocument/2006/relationships/hyperlink" Target="http://www.resmigazete.gov.tr/eskiler/2011/07/20110704M1-1.htm(12-mar-18),http://www.resmigazete.gov.tr/eskiler/2011/08/20110817-1-1.htm(12-mar-18),http://www.resmigazete.gov.tr/eskiler/2018/01/20180104-2.htm(7-mar-18)" TargetMode="External"/><Relationship Id="rId29" Type="http://schemas.openxmlformats.org/officeDocument/2006/relationships/hyperlink" Target="https://climate-laws.org/rails/active_storage/blobs/eyJfcmFpbHMiOnsibWVzc2FnZSI6IkJBaHBBbGNJIiwiZXhwIjpudWxsLCJwdXIiOiJibG9iX2lkIn19--f2ca9724165844ee827156d39481defa0ca427a9/f" TargetMode="External"/><Relationship Id="rId124" Type="http://schemas.openxmlformats.org/officeDocument/2006/relationships/hyperlink" Target="https://law.moj.gov.tw/LawClass/LawContent.aspx?PCODE=J0130032(12-mar-18),http://law.moj.gov.tw/Eng/LawClass/LawAll.aspx?PCode=J0130032(12-mar-18)" TargetMode="External"/><Relationship Id="rId123" Type="http://schemas.openxmlformats.org/officeDocument/2006/relationships/hyperlink" Target="https://law.moj.gov.tw/LawClass/LawContent.aspx?PCODE=J0130032(12-mar-18),http://law.moj.gov.tw/Eng/LawClass/LawAll.aspx?PCode=J0130032(12-mar-18)%7C" TargetMode="External"/><Relationship Id="rId122" Type="http://schemas.openxmlformats.org/officeDocument/2006/relationships/hyperlink" Target="https://law.moj.gov.tw/LawClass/LawContent.aspx?PCODE=J0130032(12-mar-18),http://law.moj.gov.tw/Eng/LawClass/LawAll.aspx?PCode=J0130032(12-mar-18)" TargetMode="External"/><Relationship Id="rId95" Type="http://schemas.openxmlformats.org/officeDocument/2006/relationships/hyperlink" Target="http://www.mt.public.lu/planification_mobilite/1strategie_modu/Strategie_pour_une_mobilite_durable_Version_integrale_MODU.pdf(12-feb-18),http://www.mt.public.lu/planification_mobilite/1strategie_modu/index.html(12-feb-18)," TargetMode="External"/><Relationship Id="rId94" Type="http://schemas.openxmlformats.org/officeDocument/2006/relationships/hyperlink" Target="http://www.mt.public.lu/planification_mobilite/1strategie_modu/Strategie_pour_une_mobilite_durable_Version_integrale_MODU.pdf(12-feb-18),http://www.mt.public.lu/planification_mobilite/1strategie_modu/index.html(12-feb-18)," TargetMode="External"/><Relationship Id="rId97" Type="http://schemas.openxmlformats.org/officeDocument/2006/relationships/hyperlink" Target="http://www.diputados.gob.mx/LeyesBiblio/ref/loapf.htm(24-mar-18),http://www.diputados.gob.mx/LeyesBiblio/pdf/153_090318.pdf(24-mar-18)" TargetMode="External"/><Relationship Id="rId96" Type="http://schemas.openxmlformats.org/officeDocument/2006/relationships/hyperlink" Target="http://www.diputados.gob.mx/LeyesBiblio/ref/loapf.htm(24-mar-18),http://www.diputados.gob.mx/LeyesBiblio/pdf/153_090318.pdf(24-mar-18)" TargetMode="External"/><Relationship Id="rId11" Type="http://schemas.openxmlformats.org/officeDocument/2006/relationships/hyperlink" Target="https://zakon.rada.gov.ua/laws/show/z1257-20/print" TargetMode="External"/><Relationship Id="rId99" Type="http://schemas.openxmlformats.org/officeDocument/2006/relationships/hyperlink" Target="http://prdrse4all.spc.int/node/4/content/federated-states-micronesia-environmental-protection-act-chapter-5-general-provisions(6-mar-18),http://prdrse4all.spc.int/system/files/environmental_protection_act_0.pdf(6-mar-18)" TargetMode="External"/><Relationship Id="rId10" Type="http://schemas.openxmlformats.org/officeDocument/2006/relationships/hyperlink" Target="http://w1.c1.rada.gov.ua/pls/zweb2/webproc4_1?pf3511=70002" TargetMode="External"/><Relationship Id="rId98" Type="http://schemas.openxmlformats.org/officeDocument/2006/relationships/hyperlink" Target="http://prdrse4all.spc.int/node/4/content/federated-states-micronesia-environmental-protection-act-chapter-5-general-provisions(6-mar-18),http://prdrse4all.spc.int/system/files/environmental_protection_act_0.pdf(6-mar-18)" TargetMode="External"/><Relationship Id="rId13" Type="http://schemas.openxmlformats.org/officeDocument/2006/relationships/hyperlink" Target="https://climate-laws.org/rails/active_storage/blobs/eyJfcmFpbHMiOnsibWVzc2FnZSI6IkJBaHBBaVlPIiwiZXhwIjpudWxsLCJwdXIiOiJibG9iX2lkIn19--bace49b7c6174a8da5c0fcfeac0f6bae089042d6/60413e6481b69340709542.doc" TargetMode="External"/><Relationship Id="rId12" Type="http://schemas.openxmlformats.org/officeDocument/2006/relationships/hyperlink" Target="https://zakon.rada.gov.ua/laws/show/z1254-20/print" TargetMode="External"/><Relationship Id="rId91" Type="http://schemas.openxmlformats.org/officeDocument/2006/relationships/hyperlink" Target="https://www.minminas.gov.co/documents/10180/23517/47726-dec_0570_230318.pdf" TargetMode="External"/><Relationship Id="rId90" Type="http://schemas.openxmlformats.org/officeDocument/2006/relationships/hyperlink" Target="https://www.minminas.gov.co/documents/10180/170046/Decreto+%F2nico+Reglamentario+Sector+Minas+y+Energ%92a.pdf/8f19ed1d-16a0-4a09-8213-ae612e424392" TargetMode="External"/><Relationship Id="rId93" Type="http://schemas.openxmlformats.org/officeDocument/2006/relationships/hyperlink" Target="http://servicios.minminas.gov.co/compilacionnormativa/docs/pdf/ley_1819_2016.pdf(7-mar-18),http://www.secretariasenado.gov.co/senado/basedoc/ley_1819_2016.html(7-mar-18)," TargetMode="External"/><Relationship Id="rId92" Type="http://schemas.openxmlformats.org/officeDocument/2006/relationships/hyperlink" Target="http://servicios.minminas.gov.co/compilacionnormativa/docs/pdf/ley_1819_2016.pdf(7-mar-18),http://www.secretariasenado.gov.co/senado/basedoc/ley_1819_2016.html(7-mar-18)," TargetMode="External"/><Relationship Id="rId118" Type="http://schemas.openxmlformats.org/officeDocument/2006/relationships/hyperlink" Target="http://www.mapama.gob.es/es/cambio-climatico/temas/organismos-e-instituciones-implicados-en-la-lucha-contra-el-cambio-climatico-a-nivel-nacional/BOE-A-2011-20640_tcm7-188660.pdf(6-mar-18),http://www.mapama.gob.es/es/cambio-climatico/temas/organismos-e-instituciones-implicados-en-la-lucha-contra-el-cambio-climatico-a-nivel-nacional/comision-delegada-del-gobierno-para-el-cambio-climatico/default.aspx(6-mar-18)" TargetMode="External"/><Relationship Id="rId117"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 TargetMode="External"/><Relationship Id="rId116"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7C" TargetMode="External"/><Relationship Id="rId115"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 TargetMode="External"/><Relationship Id="rId119" Type="http://schemas.openxmlformats.org/officeDocument/2006/relationships/hyperlink" Target="http://www.mapama.gob.es/es/cambio-climatico/temas/organismos-e-instituciones-implicados-en-la-lucha-contra-el-cambio-climatico-a-nivel-nacional/BOE-A-2011-20640_tcm7-188660.pdf(6-mar-18),http://www.mapama.gob.es/es/cambio-climatico/temas/organismos-e-instituciones-implicados-en-la-lucha-contra-el-cambio-climatico-a-nivel-nacional/comision-delegada-del-gobierno-para-el-cambio-climatico/default.aspx(6-mar-18)" TargetMode="External"/><Relationship Id="rId15" Type="http://schemas.openxmlformats.org/officeDocument/2006/relationships/hyperlink" Target="https://www.kmu.gov.ua/en/reformi/ekonomichne-zrostannya/reforma-infrastrukturi" TargetMode="External"/><Relationship Id="rId110"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7C" TargetMode="External"/><Relationship Id="rId14" Type="http://schemas.openxmlformats.org/officeDocument/2006/relationships/hyperlink" Target="https://www.kmu.gov.ua/npas/pro-zatverdzhennya-nacionalnoyi-eko-a179" TargetMode="External"/><Relationship Id="rId17" Type="http://schemas.openxmlformats.org/officeDocument/2006/relationships/hyperlink" Target="https://climate-laws.org/rails/active_storage/blobs/eyJfcmFpbHMiOnsibWVzc2FnZSI6IkJBaHBBbVVPIiwiZXhwIjpudWxsLCJwdXIiOiJibG9iX2lkIn19--602468e511b2731e63fa7def8e58767acca1562e/%D0%9F%D1%80%D0%BE%20%D1%81%D1%85%D0%B2%D0%B0%D0%BB%D0%B5%D0%BD%D0%BD%D1%8F%20%D0%9D%D0%B0%D1%86%D1%96%D0%BE%D0%BD%D0%B0%D0%BB%D1%8C%D0%BD%D0%BE%D1%97%20%D1%82%D1%80%D0%B0...%20-%20%D0%B2%D1%96%D0%B4%2030.05.2018%20%E2%84%96%20430-%D1%80%20(%D0%A2%D0%B5%D0%BA%D1%81%D1%82%20%D0%B4%D0%BB%D1%8F%20%D0%B4%D1%80%D1%83%D0%BA%D1%83).pdf" TargetMode="External"/><Relationship Id="rId16" Type="http://schemas.openxmlformats.org/officeDocument/2006/relationships/hyperlink" Target="https://www.kmu.gov.ua/en/news/uryad-zatverdiv-plan-zahodiv-z-realizaciyi-nacionalnoyi-transportnoyi-strategiyi-ukrayini-do-2030-roku-vladislav-kriklij" TargetMode="External"/><Relationship Id="rId19" Type="http://schemas.openxmlformats.org/officeDocument/2006/relationships/hyperlink" Target="https://climate-laws.org/rails/active_storage/blobs/eyJfcmFpbHMiOnsibWVzc2FnZSI6IkJBaHBBc2dJIiwiZXhwIjpudWxsLCJwdXIiOiJibG9iX2lkIn19--2f0f5cbbd51366fca367a72b9618803ef22d5ca8/f" TargetMode="External"/><Relationship Id="rId114"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7C" TargetMode="External"/><Relationship Id="rId18" Type="http://schemas.openxmlformats.org/officeDocument/2006/relationships/hyperlink" Target="https://climate-laws.org/rails/active_storage/blobs/eyJfcmFpbHMiOnsibWVzc2FnZSI6IkJBaHBBc2NJIiwiZXhwIjpudWxsLCJwdXIiOiJibG9iX2lkIn19--096244143d5dc825d9a4fd79a7135236fa4ffb1c/f" TargetMode="External"/><Relationship Id="rId113"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 TargetMode="External"/><Relationship Id="rId112"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7C" TargetMode="External"/><Relationship Id="rId111"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 TargetMode="External"/><Relationship Id="rId84" Type="http://schemas.openxmlformats.org/officeDocument/2006/relationships/hyperlink" Target="http://www.lse.ac.uk/GranthamInstitute/wp-content/uploads/laws/4845.pdf" TargetMode="External"/><Relationship Id="rId83" Type="http://schemas.openxmlformats.org/officeDocument/2006/relationships/hyperlink" Target="https://vietnam.un.org/sites/default/files/2020-08/ke%20hoach%20hanh%20dong%20quoc%20gia_04-07_VN_CHXHCNVN%20%281%29.pdf" TargetMode="External"/><Relationship Id="rId86" Type="http://schemas.openxmlformats.org/officeDocument/2006/relationships/hyperlink" Target="http://www.sce.gov.bh/en/NationalStrategyforEnvironment?cms=iQRpheuphYtJ6pyXUGiNqkP7woZPUrlc(9-feb-18),http://www.sce.gov.bh/Media/Documents/Startegy/Environment%20National%20Startegy-%202006.pdf(9-feb-18),%7C" TargetMode="External"/><Relationship Id="rId85" Type="http://schemas.openxmlformats.org/officeDocument/2006/relationships/hyperlink" Target="http://cbz.org.zm/public/downloads/SECOND-NATIONAL-AGRICULTURAL-POLICY-2016.pdf" TargetMode="External"/><Relationship Id="rId88" Type="http://schemas.openxmlformats.org/officeDocument/2006/relationships/hyperlink" Target="http://www.sce.gov.bh/en/NationalStrategyforEnvironment?cms=iQRpheuphYtJ6pyXUGiNqkP7woZPUrlc(9-feb-18),http://www.sce.gov.bh/Media/Documents/Startegy/Environment%20National%20Startegy-%202006.pdf(9-feb-18),%7C" TargetMode="External"/><Relationship Id="rId87" Type="http://schemas.openxmlformats.org/officeDocument/2006/relationships/hyperlink" Target="http://www.sce.gov.bh/en/NationalStrategyforEnvironment?cms=iQRpheuphYtJ6pyXUGiNqkP7woZPUrlc(9-feb-18),http://www.sce.gov.bh/Media/Documents/Startegy/Environment%20National%20Startegy-%202006.pdf(9-feb-18)," TargetMode="External"/><Relationship Id="rId89" Type="http://schemas.openxmlformats.org/officeDocument/2006/relationships/hyperlink" Target="http://www.sce.gov.bh/en/NationalStrategyforEnvironment?cms=iQRpheuphYtJ6pyXUGiNqkP7woZPUrlc(9-feb-18),http://www.sce.gov.bh/Media/Documents/Startegy/Environment%20National%20Startegy-%202006.pdf(9-feb-18)," TargetMode="External"/><Relationship Id="rId80" Type="http://schemas.openxmlformats.org/officeDocument/2006/relationships/hyperlink" Target="https://climate-laws.org/rails/active_storage/blobs/eyJfcmFpbHMiOnsibWVzc2FnZSI6IkJBaHBBdjBNIiwiZXhwIjpudWxsLCJwdXIiOiJibG9iX2lkIn19--c359bf772c4c06ec95a212a061f93f70ce96c156/2016%20Decree%20119_N%C4%90CP_Policies%20on%20Sustainable%20Management%20and%20Protection%20of%20Coastal%20Forests%20Against%20Climate%20Change_Google%20Translation.docx" TargetMode="External"/><Relationship Id="rId82" Type="http://schemas.openxmlformats.org/officeDocument/2006/relationships/hyperlink" Target="https://vietnam.un.org/sites/default/files/2020-08/ke%20hoach%20hanh%20dong%20quoc%20gia_04-07-ENG_CHXHCNVN.pdf" TargetMode="External"/><Relationship Id="rId81" Type="http://schemas.openxmlformats.org/officeDocument/2006/relationships/hyperlink" Target="https://climate-laws.org/rails/active_storage/blobs/eyJfcmFpbHMiOnsibWVzc2FnZSI6IkJBaHBBZ0VOIiwiZXhwIjpudWxsLCJwdXIiOiJibG9iX2lkIn19--6fde6382e53fbf844f16cdcb04202a6e8d7bcb04/2015%20PM%20Decision%20120_qdttg_Approving%20Projects%20to%20Protect%20and%20Develop%20Coastal%20Forests%20for%20Climate%20Change%20Adaptation_2015_2020.docx" TargetMode="External"/><Relationship Id="rId1" Type="http://schemas.openxmlformats.org/officeDocument/2006/relationships/hyperlink" Target="https://www1.undp.org/content/dam/LECB/docs/pubs-reports/undp-ndc-sp-uganda-ggds-green-growth-dev-strategy-20171204.pdf." TargetMode="External"/><Relationship Id="rId2" Type="http://schemas.openxmlformats.org/officeDocument/2006/relationships/hyperlink" Target="http://www.npa.go.ug/about-npa/uganda-green-growth-development-strategy/" TargetMode="External"/><Relationship Id="rId3" Type="http://schemas.openxmlformats.org/officeDocument/2006/relationships/hyperlink" Target="https://climate-laws.org/rails/active_storage/blobs/eyJfcmFpbHMiOnsibWVzc2FnZSI6IkJBaHBBbXNJIiwiZXhwIjpudWxsLCJwdXIiOiJibG9iX2lkIn19--f2c386c9b7969be50ed45e4bdaa62c8b4b1d963f/f" TargetMode="External"/><Relationship Id="rId4" Type="http://schemas.openxmlformats.org/officeDocument/2006/relationships/hyperlink" Target="https://climate-laws.org/rails/active_storage/blobs/eyJfcmFpbHMiOnsibWVzc2FnZSI6IkJBaHBBbXdJIiwiZXhwIjpudWxsLCJwdXIiOiJibG9iX2lkIn19--0b4d4787a99a96717dd50772d2059d0755b423b6/f" TargetMode="External"/><Relationship Id="rId9" Type="http://schemas.openxmlformats.org/officeDocument/2006/relationships/hyperlink" Target="http://w1.c1.rada.gov.ua/pls/zweb2/webproc4_1?pf3511=70002%7Cuk" TargetMode="External"/><Relationship Id="rId5" Type="http://schemas.openxmlformats.org/officeDocument/2006/relationships/hyperlink" Target="https://climate-laws.org/rails/active_storage/blobs/eyJfcmFpbHMiOnsibWVzc2FnZSI6IkJBaHBBbTBJIiwiZXhwIjpudWxsLCJwdXIiOiJibG9iX2lkIn19--e35105b9289f9cca01af2184dbdbbe2752590387/f" TargetMode="External"/><Relationship Id="rId6" Type="http://schemas.openxmlformats.org/officeDocument/2006/relationships/hyperlink" Target="https://climate-laws.org/rails/active_storage/blobs/eyJfcmFpbHMiOnsibWVzc2FnZSI6IkJBaHBBdXdFIiwiZXhwIjpudWxsLCJwdXIiOiJibG9iX2lkIn19--58951fddcffb11fbbd2c053406fd1e3e6a28398b/f" TargetMode="External"/><Relationship Id="rId7" Type="http://schemas.openxmlformats.org/officeDocument/2006/relationships/hyperlink" Target="http://w1.c1.rada.gov.ua/pls/zweb2/webproc4_1?pf3511=69138%7Cuk" TargetMode="External"/><Relationship Id="rId8" Type="http://schemas.openxmlformats.org/officeDocument/2006/relationships/hyperlink" Target="http://w1.c1.rada.gov.ua/pls/zweb2/webproc4_1?pf3511=69138" TargetMode="External"/><Relationship Id="rId73" Type="http://schemas.openxmlformats.org/officeDocument/2006/relationships/hyperlink" Target="https://climate-laws.org/rails/active_storage/blobs/eyJfcmFpbHMiOnsibWVzc2FnZSI6IkJBaHBBdEVLIiwiZXhwIjpudWxsLCJwdXIiOiJibG9iX2lkIn19--7c36e70dc3bc1fc0ff72a49a0dc776ce06a99f25/1799%20English.pdf" TargetMode="External"/><Relationship Id="rId72" Type="http://schemas.openxmlformats.org/officeDocument/2006/relationships/hyperlink" Target="https://climate-laws.org/rails/active_storage/blobs/eyJfcmFpbHMiOnsibWVzc2FnZSI6IkJBaHBBallJIiwiZXhwIjpudWxsLCJwdXIiOiJibG9iX2lkIn19--896918685b3a012321c7f7872e03a9fa57312bf6/f" TargetMode="External"/><Relationship Id="rId75" Type="http://schemas.openxmlformats.org/officeDocument/2006/relationships/hyperlink" Target="https://climate-laws.org/rails/active_storage/blobs/eyJfcmFpbHMiOnsibWVzc2FnZSI6IkJBaHBBdElLIiwiZXhwIjpudWxsLCJwdXIiOiJibG9iX2lkIn19--1313d855270c7f36717a0477b1bc9ab8045e756b/1803%20English.pdf" TargetMode="External"/><Relationship Id="rId74" Type="http://schemas.openxmlformats.org/officeDocument/2006/relationships/hyperlink" Target="https://climate-laws.org/rails/active_storage/blobs/eyJfcmFpbHMiOnsibWVzc2FnZSI6IkJBaHBBakVJIiwiZXhwIjpudWxsLCJwdXIiOiJibG9iX2lkIn19--0357a6bda747097d2671f2a23ed5c77059c9f545/f" TargetMode="External"/><Relationship Id="rId77" Type="http://schemas.openxmlformats.org/officeDocument/2006/relationships/hyperlink" Target="https://thuvienphapluat.vn/van-ban/tai-nguyen-moi-truong/Quyet-dinh-13-2020-QD-TTg-co-che-khuyen-khich-phat-trien-dien-mat-troi-tai-Viet-Nam-439160.aspx" TargetMode="External"/><Relationship Id="rId76" Type="http://schemas.openxmlformats.org/officeDocument/2006/relationships/hyperlink" Target="https://climate-laws.org/rails/active_storage/blobs/eyJfcmFpbHMiOnsibWVzc2FnZSI6IkJBaHBBb2tHIiwiZXhwIjpudWxsLCJwdXIiOiJibG9iX2lkIn19--884b1527369523dc7550358e11616e0f1f216f70/f" TargetMode="External"/><Relationship Id="rId79" Type="http://schemas.openxmlformats.org/officeDocument/2006/relationships/hyperlink" Target="https://climate-laws.org/rails/active_storage/blobs/eyJfcmFpbHMiOnsibWVzc2FnZSI6IkJBaHBBZ29OIiwiZXhwIjpudWxsLCJwdXIiOiJibG9iX2lkIn19--2e885e0e4e63a2c02540ccf410df7d8885d9c216/2017%20PM%20Decision%2011_2017_q%C4%91ttg%202017_Mechanism%20for%20Encouraging%20Solar%20Power%20Development.docx" TargetMode="External"/><Relationship Id="rId78" Type="http://schemas.openxmlformats.org/officeDocument/2006/relationships/hyperlink" Target="https://thuvienphapluat.vn/van-ban/dau-tu/Thong-tu-18-2020-TT-BCT-hop-dong-mua-ban-dien-mau-ap-dung-cho-du-an-dien-mat-troi-448189.aspx" TargetMode="External"/><Relationship Id="rId71" Type="http://schemas.openxmlformats.org/officeDocument/2006/relationships/hyperlink" Target="https://climate-laws.org/rails/active_storage/blobs/eyJfcmFpbHMiOnsibWVzc2FnZSI6IkJBaHBBalFJIiwiZXhwIjpudWxsLCJwdXIiOiJibG9iX2lkIn19--6692b8dc6796af1c803391cef6ee5f25bce18227/f" TargetMode="External"/><Relationship Id="rId70" Type="http://schemas.openxmlformats.org/officeDocument/2006/relationships/hyperlink" Target="https://climate-laws.org/rails/active_storage/blobs/eyJfcmFpbHMiOnsibWVzc2FnZSI6IkJBaHBBak1JIiwiZXhwIjpudWxsLCJwdXIiOiJibG9iX2lkIn19--117b5e22e047831a7be30270e72ae2aa73bfa67d/f" TargetMode="External"/><Relationship Id="rId62" Type="http://schemas.openxmlformats.org/officeDocument/2006/relationships/hyperlink" Target="https://climate-laws.org/rails/active_storage/blobs/eyJfcmFpbHMiOnsibWVzc2FnZSI6IkJBaHBBa01JIiwiZXhwIjpudWxsLCJwdXIiOiJibG9iX2lkIn19--2aef2baad4ed02f7170ab7ad0565f5d17c554455/f" TargetMode="External"/><Relationship Id="rId61" Type="http://schemas.openxmlformats.org/officeDocument/2006/relationships/hyperlink" Target="https://climate-laws.org/rails/active_storage/blobs/eyJfcmFpbHMiOnsibWVzc2FnZSI6IkJBaHBBczRLIiwiZXhwIjpudWxsLCJwdXIiOiJibG9iX2lkIn19--564294597b42c03b3407c4fd693e54f219c27446/1792%20English.pdf" TargetMode="External"/><Relationship Id="rId64" Type="http://schemas.openxmlformats.org/officeDocument/2006/relationships/hyperlink" Target="https://climate-laws.org/rails/active_storage/blobs/eyJfcmFpbHMiOnsibWVzc2FnZSI6IkJBaHBBZ2NOIiwiZXhwIjpudWxsLCJwdXIiOiJibG9iX2lkIn19--adea143062be9b0a6260f045d6dd658106d286ad/2014%20PM%20Decision%20403_National%20Action%20Plan%20on%20Green%20Growth%202014_2020.pdf" TargetMode="External"/><Relationship Id="rId63" Type="http://schemas.openxmlformats.org/officeDocument/2006/relationships/hyperlink" Target="https://climate-laws.org/rails/active_storage/blobs/eyJfcmFpbHMiOnsibWVzc2FnZSI6IkJBaHBBczhLIiwiZXhwIjpudWxsLCJwdXIiOiJibG9iX2lkIn19--1821bc35e30e45348d319d985e75001472b2f8a7/1793%20English.pdf" TargetMode="External"/><Relationship Id="rId66" Type="http://schemas.openxmlformats.org/officeDocument/2006/relationships/hyperlink" Target="https://climate-laws.org/rails/active_storage/blobs/eyJfcmFpbHMiOnsibWVzc2FnZSI6IkJBaHBBZ2tOIiwiZXhwIjpudWxsLCJwdXIiOiJibG9iX2lkIn19--f6096e430bda67b893c9677907a9c1637b109611/2017%20PM%20Decision%201670_QD-TTg_365899_CC%20and%20Green%20Growth%20Strategy_2016-2020_EN_GT.pdf" TargetMode="External"/><Relationship Id="rId65" Type="http://schemas.openxmlformats.org/officeDocument/2006/relationships/hyperlink" Target="https://climate-laws.org/rails/active_storage/blobs/eyJfcmFpbHMiOnsibWVzc2FnZSI6IkJBaHBBZ2dOIiwiZXhwIjpudWxsLCJwdXIiOiJibG9iX2lkIn19--d17560bc697a70fb62bfca229c2d0ea826598d17/2015%20MONRE%20Decision_965_2015_QD_BTNMT_qdbtnmt_National%20Green%20Growth%20Strategy%20for%202015_2020.docx" TargetMode="External"/><Relationship Id="rId68" Type="http://schemas.openxmlformats.org/officeDocument/2006/relationships/hyperlink" Target="https://climate-laws.org/rails/active_storage/blobs/eyJfcmFpbHMiOnsibWVzc2FnZSI6IkJBaHBBdEFLIiwiZXhwIjpudWxsLCJwdXIiOiJibG9iX2lkIn19--c10efd4b765af888eb021307fc3ac2b991a46426/1794%20English.pdf" TargetMode="External"/><Relationship Id="rId67" Type="http://schemas.openxmlformats.org/officeDocument/2006/relationships/hyperlink" Target="https://climate-laws.org/rails/active_storage/blobs/eyJfcmFpbHMiOnsibWVzc2FnZSI6IkJBaHBBam9JIiwiZXhwIjpudWxsLCJwdXIiOiJibG9iX2lkIn19--5068338e35c1be8360725f0113a7ddfa83827c59/f" TargetMode="External"/><Relationship Id="rId60" Type="http://schemas.openxmlformats.org/officeDocument/2006/relationships/hyperlink" Target="https://climate-laws.org/rails/active_storage/blobs/eyJfcmFpbHMiOnsibWVzc2FnZSI6IkJBaHBBandJIiwiZXhwIjpudWxsLCJwdXIiOiJibG9iX2lkIn19--fe8be8e5c08d3210a17367d8c813d3f523b3bf55/f" TargetMode="External"/><Relationship Id="rId69" Type="http://schemas.openxmlformats.org/officeDocument/2006/relationships/hyperlink" Target="http://extwprlegs1.fao.org/docs/pdf/vie189912.pdf" TargetMode="External"/><Relationship Id="rId51" Type="http://schemas.openxmlformats.org/officeDocument/2006/relationships/hyperlink" Target="https://www.whitehouse.gov/briefing-room/presidential-actions/2021/12/08/executive-order-on-catalyzing-clean-energy-industries-and-jobs-through-federal-sustainability/" TargetMode="External"/><Relationship Id="rId50" Type="http://schemas.openxmlformats.org/officeDocument/2006/relationships/hyperlink" Target="https://www.federalregister.gov/documents/2021/12/30/2021-27854/revised-2023-and-later-model-year-light-duty-vehicle-greenhouse-gas-emissions-standards" TargetMode="External"/><Relationship Id="rId53" Type="http://schemas.openxmlformats.org/officeDocument/2006/relationships/hyperlink" Target="https://www.sustainability.gov/federalsustainabilityplan/index.html" TargetMode="External"/><Relationship Id="rId52" Type="http://schemas.openxmlformats.org/officeDocument/2006/relationships/hyperlink" Target="https://www.sustainability.gov/pdfs/federal-sustainability-plan.pdf" TargetMode="External"/><Relationship Id="rId55" Type="http://schemas.openxmlformats.org/officeDocument/2006/relationships/hyperlink" Target="https://climate-laws.org/rails/active_storage/blobs/eyJfcmFpbHMiOnsibWVzc2FnZSI6IkJBaHBBa1VJIiwiZXhwIjpudWxsLCJwdXIiOiJibG9iX2lkIn19--0609ec8856eb6c1376c0a6b3be3e21e09c5b3434/f" TargetMode="External"/><Relationship Id="rId54" Type="http://schemas.openxmlformats.org/officeDocument/2006/relationships/hyperlink" Target="https://climate-laws.org/rails/active_storage/blobs/eyJfcmFpbHMiOnsibWVzc2FnZSI6IkJBaHBBa1FJIiwiZXhwIjpudWxsLCJwdXIiOiJibG9iX2lkIn19--089018cf4b5b08ccd9dcae23f20d3eafedd88808/f" TargetMode="External"/><Relationship Id="rId57" Type="http://schemas.openxmlformats.org/officeDocument/2006/relationships/hyperlink" Target="https://www.gacetaoficial.io/venezuela/descarga/2021-go-42246.pdf" TargetMode="External"/><Relationship Id="rId56" Type="http://schemas.openxmlformats.org/officeDocument/2006/relationships/hyperlink" Target="https://www.ojdt.com.ve/archivos/gacetas/2021-10/42.217.pdf" TargetMode="External"/><Relationship Id="rId59" Type="http://schemas.openxmlformats.org/officeDocument/2006/relationships/hyperlink" Target="https://climate-laws.org/rails/active_storage/blobs/eyJfcmFpbHMiOnsibWVzc2FnZSI6IkJBaHBBaWdPIiwiZXhwIjpudWxsLCJwdXIiOiJibG9iX2lkIn19--d59e4b7a922c7709500274c26d7e3086f36632b6/66.signed.pdf" TargetMode="External"/><Relationship Id="rId58" Type="http://schemas.openxmlformats.org/officeDocument/2006/relationships/hyperlink" Target="https://climate-laws.org/rails/active_storage/blobs/eyJfcmFpbHMiOnsibWVzc2FnZSI6IkJBaHBBZ01HIiwiZXhwIjpudWxsLCJwdXIiOiJibG9iX2lkIn19--1a9e02a947b3c582c36d7a2a2bb6133b2deb252b/f"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40" Type="http://schemas.openxmlformats.org/officeDocument/2006/relationships/hyperlink" Target="https://www.miteco.gob.es/es/calidad-y-evaluacion-ambiental/temas/economia-circular/espanacircular_2030_executivesummary_en_tcm30-510578.pdf" TargetMode="External"/><Relationship Id="rId42" Type="http://schemas.openxmlformats.org/officeDocument/2006/relationships/hyperlink" Target="https://www.miteco.gob.es/es/prensa/ultimas-noticias/el-gobierno-aprueba-la-estrategia-de-descarbonizaci%C3%B3n-a-largo-plazo-que-marca-la-senda-para-alcanzar-la-neutralidad-clim%C3%A1tica-a-2050/tcm:30-516141" TargetMode="External"/><Relationship Id="rId41" Type="http://schemas.openxmlformats.org/officeDocument/2006/relationships/hyperlink" Target="https://www.miteco.gob.es/es/prensa/documentoelp_tcm30-516109.pdf" TargetMode="External"/><Relationship Id="rId44" Type="http://schemas.openxmlformats.org/officeDocument/2006/relationships/hyperlink" Target="https://industria.gob.es/es-ES/Servicios/estrategia-impulso-vehiculo-energias-alternativas/Documents/Estrategia-Impulso-Vehiculo-Energ%C3%ADas%20Alternativas-VEA-Espa%C3%B1a-2014-2020.pdf" TargetMode="External"/><Relationship Id="rId43" Type="http://schemas.openxmlformats.org/officeDocument/2006/relationships/hyperlink" Target="https://industria.gob.es/es-ES/Servicios/Documents/national-action-framework.pdf" TargetMode="External"/><Relationship Id="rId46" Type="http://schemas.openxmlformats.org/officeDocument/2006/relationships/hyperlink" Target="https://data.consilium.europa.eu/doc/document/ST-10150-2021-INIT/en/pdf" TargetMode="External"/><Relationship Id="rId45" Type="http://schemas.openxmlformats.org/officeDocument/2006/relationships/hyperlink" Target="https://ec.europa.eu/info/system/files/spain-recovery-resilience-factsheet_en.pdf" TargetMode="External"/><Relationship Id="rId107" Type="http://schemas.openxmlformats.org/officeDocument/2006/relationships/hyperlink" Target="https://climate-laws.org/rails/active_storage/blobs/eyJfcmFpbHMiOnsibWVzc2FnZSI6IkJBaHBBc2tLIiwiZXhwIjpudWxsLCJwdXIiOiJibG9iX2lkIn19--7623e73d48273f14997bcaffa14238c9c204a725/1720%20English.pdf" TargetMode="External"/><Relationship Id="rId106" Type="http://schemas.openxmlformats.org/officeDocument/2006/relationships/hyperlink" Target="https://climate-laws.org/rails/active_storage/blobs/eyJfcmFpbHMiOnsibWVzc2FnZSI6IkJBaHBBc2dLIiwiZXhwIjpudWxsLCJwdXIiOiJibG9iX2lkIn19--f5b76b52a69aa5dc7dfbcf8923ffc662e432660d/1720%20Turkish.pdf" TargetMode="External"/><Relationship Id="rId105" Type="http://schemas.openxmlformats.org/officeDocument/2006/relationships/hyperlink" Target="http://www.environnement.gov.tn/index.php/fr/112-contenu-fr/la-biodiversite?start=3" TargetMode="External"/><Relationship Id="rId104" Type="http://schemas.openxmlformats.org/officeDocument/2006/relationships/hyperlink" Target="http://www.environnement.gov.tn/index.php/fr/112-contenu-fr/la-biodiversite?start=3%7Cfr" TargetMode="External"/><Relationship Id="rId109" Type="http://schemas.openxmlformats.org/officeDocument/2006/relationships/hyperlink" Target="https://climate-laws.org/rails/active_storage/blobs/eyJfcmFpbHMiOnsibWVzc2FnZSI6IkJBaHBBc3NLIiwiZXhwIjpudWxsLCJwdXIiOiJibG9iX2lkIn19--f07b832f6e60d07123f484b06cdf3096f41673ac/1722%20English.pdf" TargetMode="External"/><Relationship Id="rId108" Type="http://schemas.openxmlformats.org/officeDocument/2006/relationships/hyperlink" Target="https://climate-laws.org/rails/active_storage/blobs/eyJfcmFpbHMiOnsibWVzc2FnZSI6IkJBaHBBc29LIiwiZXhwIjpudWxsLCJwdXIiOiJibG9iX2lkIn19--2a43c1378e2052553f72a03a119dab364db8e853/1722%20Turkish.pdf" TargetMode="External"/><Relationship Id="rId48" Type="http://schemas.openxmlformats.org/officeDocument/2006/relationships/hyperlink" Target="https://planderecuperacion.gob.es" TargetMode="External"/><Relationship Id="rId47" Type="http://schemas.openxmlformats.org/officeDocument/2006/relationships/hyperlink" Target="https://data.consilium.europa.eu/doc/document/ST-10150-2021-ADD-1-REV-2/en/pdf" TargetMode="External"/><Relationship Id="rId49" Type="http://schemas.openxmlformats.org/officeDocument/2006/relationships/hyperlink" Target="https://ec.europa.eu/info/files/spains-recovery-and-resilience-plan_en" TargetMode="External"/><Relationship Id="rId103" Type="http://schemas.openxmlformats.org/officeDocument/2006/relationships/hyperlink" Target="https://www.cbd.int/doc/world/tn/tn-nbsap-oth-fr.pdf" TargetMode="External"/><Relationship Id="rId102" Type="http://schemas.openxmlformats.org/officeDocument/2006/relationships/hyperlink" Target="https://legislation-securite.tn/law/45346" TargetMode="External"/><Relationship Id="rId101" Type="http://schemas.openxmlformats.org/officeDocument/2006/relationships/hyperlink" Target="https://climate-laws.org/rails/active_storage/blobs/eyJfcmFpbHMiOnsibWVzc2FnZSI6IkJBaHBBckVPIiwiZXhwIjpudWxsLCJwdXIiOiJibG9iX2lkIn19--b78d1f1305c742104f636f5157f3fc26c60b7b6d/D%C3%A9cret_n%C2%B093-942.pdf" TargetMode="External"/><Relationship Id="rId100" Type="http://schemas.openxmlformats.org/officeDocument/2006/relationships/hyperlink" Target="https://climate-laws.org/rails/active_storage/blobs/eyJfcmFpbHMiOnsibWVzc2FnZSI6IkJBaHBBb01JIiwiZXhwIjpudWxsLCJwdXIiOiJibG9iX2lkIn19--e705fba7deb1472bde9e8e4db9bb705fc5b7b522/f" TargetMode="External"/><Relationship Id="rId31" Type="http://schemas.openxmlformats.org/officeDocument/2006/relationships/hyperlink" Target="https://ec.europa.eu/energy/sites/ener/files/documents/es_final_necp_main_es.pdf" TargetMode="External"/><Relationship Id="rId30" Type="http://schemas.openxmlformats.org/officeDocument/2006/relationships/hyperlink" Target="https://ec.europa.eu/energy/sites/ener/files/documents/es_final_necp_main_en.pdf" TargetMode="External"/><Relationship Id="rId33" Type="http://schemas.openxmlformats.org/officeDocument/2006/relationships/hyperlink" Target="https://www.miteco.gob.es/es/cambio-climatico/temas/impactos-vulnerabilidad-y-adaptacion/pnacc-2021-2030_tcm30-512163.pdf" TargetMode="External"/><Relationship Id="rId32" Type="http://schemas.openxmlformats.org/officeDocument/2006/relationships/hyperlink" Target="https://www.miteco.gob.es/es/cambio-climatico/temas/impactos-vulnerabilidad-y-adaptacion/plan-nacional-adaptacion-cambio-climatico/default.aspx" TargetMode="External"/><Relationship Id="rId35" Type="http://schemas.openxmlformats.org/officeDocument/2006/relationships/hyperlink" Target="https://www.boe.es/diario_boe/txt.php?id=BOE-A-2020-13591" TargetMode="External"/><Relationship Id="rId34" Type="http://schemas.openxmlformats.org/officeDocument/2006/relationships/hyperlink" Target="https://www.boe.es/diario_boe/txt.php?id=BOE-A-2020-13591%7Ces" TargetMode="External"/><Relationship Id="rId37" Type="http://schemas.openxmlformats.org/officeDocument/2006/relationships/hyperlink" Target="https://climate-laws.org/rails/active_storage/blobs/eyJfcmFpbHMiOnsibWVzc2FnZSI6IkJBaHBBbEFOIiwiZXhwIjpudWxsLCJwdXIiOiJibG9iX2lkIn19--59b38c634ec7410d8f28fb813cf4534685d440b9/es_ltrs_2020.pdf" TargetMode="External"/><Relationship Id="rId36" Type="http://schemas.openxmlformats.org/officeDocument/2006/relationships/hyperlink" Target="https://climate-laws.org/rails/active_storage/blobs/eyJfcmFpbHMiOnsibWVzc2FnZSI6IkJBaHBBazhOIiwiZXhwIjpudWxsLCJwdXIiOiJibG9iX2lkIn19--575b260df5d573560c81c5565577307950d49ec6/BOE-A-2020-13591.pdf" TargetMode="External"/><Relationship Id="rId39" Type="http://schemas.openxmlformats.org/officeDocument/2006/relationships/hyperlink" Target="https://www.miteco.gob.es/es/calidad-y-evaluacion-ambiental/temas/economia-circular/espanacircular2030_def1_tcm30-509532.PDF" TargetMode="External"/><Relationship Id="rId38" Type="http://schemas.openxmlformats.org/officeDocument/2006/relationships/hyperlink" Target="https://www.mitma.gob.es/el-ministerio/planes-estrategicos/estrategia-a-largo-plazo-para-la-rehabilitacion-energetica-en-el-sector-de-la-edificacion-en-espana" TargetMode="External"/><Relationship Id="rId20" Type="http://schemas.openxmlformats.org/officeDocument/2006/relationships/hyperlink" Target="https://climate-laws.org/rails/active_storage/blobs/eyJfcmFpbHMiOnsibWVzc2FnZSI6IkJBaHBBalVHIiwiZXhwIjpudWxsLCJwdXIiOiJibG9iX2lkIn19--aa0b9539eab4ba5244aebe6153fd8a80ace6c5e7/f" TargetMode="External"/><Relationship Id="rId22" Type="http://schemas.openxmlformats.org/officeDocument/2006/relationships/hyperlink" Target="http://www.mapama.gob.es/es/cambio-climatico/temas/organismos-e-instituciones-implicados-en-la-lucha-contra-el-cambio-climatico-a-nivel-nacional/el-consejo-nacional-del-clima/default.aspx" TargetMode="External"/><Relationship Id="rId21" Type="http://schemas.openxmlformats.org/officeDocument/2006/relationships/hyperlink" Target="https://climate-laws.org/rails/active_storage/blobs/eyJfcmFpbHMiOnsibWVzc2FnZSI6IkJBaHBBallHIiwiZXhwIjpudWxsLCJwdXIiOiJibG9iX2lkIn19--2606fa879c55336719329cbbd42745183e8d86ea/f" TargetMode="External"/><Relationship Id="rId24" Type="http://schemas.openxmlformats.org/officeDocument/2006/relationships/hyperlink" Target="https://climate-laws.org/rails/active_storage/blobs/eyJfcmFpbHMiOnsibWVzc2FnZSI6IkJBaHBBalFKIiwiZXhwIjpudWxsLCJwdXIiOiJibG9iX2lkIn19--b79c4319a8330086b9e30fa71245d2f9244ec5e9/f" TargetMode="External"/><Relationship Id="rId23" Type="http://schemas.openxmlformats.org/officeDocument/2006/relationships/hyperlink" Target="https://www.boe.es/eli/es/l/2005/03/09/1/con" TargetMode="External"/><Relationship Id="rId26" Type="http://schemas.openxmlformats.org/officeDocument/2006/relationships/hyperlink" Target="https://climate-laws.org/rails/active_storage/blobs/eyJfcmFpbHMiOnsibWVzc2FnZSI6IkJBaHBBaWtGIiwiZXhwIjpudWxsLCJwdXIiOiJibG9iX2lkIn19--ab00a3c4da0885daf6c12632d9b1bc2b0fbcc423/f" TargetMode="External"/><Relationship Id="rId121" Type="http://schemas.openxmlformats.org/officeDocument/2006/relationships/hyperlink" Target="https://www.resmigazete.gov.tr/eskiler/2019/05/20190510-10.pdf" TargetMode="External"/><Relationship Id="rId25" Type="http://schemas.openxmlformats.org/officeDocument/2006/relationships/hyperlink" Target="https://climate-laws.org/rails/active_storage/blobs/eyJfcmFpbHMiOnsibWVzc2FnZSI6IkJBaHBBalVKIiwiZXhwIjpudWxsLCJwdXIiOiJibG9iX2lkIn19--55d1e88dce6535d190d8086037ef11fb18663361/f" TargetMode="External"/><Relationship Id="rId120" Type="http://schemas.openxmlformats.org/officeDocument/2006/relationships/hyperlink" Target="https://www.resmigazete.gov.tr/eskiler/2020/05/20200528-6.htm" TargetMode="External"/><Relationship Id="rId28" Type="http://schemas.openxmlformats.org/officeDocument/2006/relationships/hyperlink" Target="https://boe.es/buscar/pdf/2007/BOE-A-2007-21493-consolidado.pdf" TargetMode="External"/><Relationship Id="rId27" Type="http://schemas.openxmlformats.org/officeDocument/2006/relationships/hyperlink" Target="https://climate-laws.org/rails/active_storage/blobs/eyJfcmFpbHMiOnsibWVzc2FnZSI6IkJBaHBBaW9GIiwiZXhwIjpudWxsLCJwdXIiOiJibG9iX2lkIn19--b9bc25b908203d083cae620ce26b5fb4bb550e57/f" TargetMode="External"/><Relationship Id="rId125" Type="http://schemas.openxmlformats.org/officeDocument/2006/relationships/drawing" Target="../drawings/drawing19.xml"/><Relationship Id="rId29" Type="http://schemas.openxmlformats.org/officeDocument/2006/relationships/hyperlink" Target="https://climate-laws.org/rails/active_storage/blobs/eyJfcmFpbHMiOnsibWVzc2FnZSI6IkJBaHBBaTBGIiwiZXhwIjpudWxsLCJwdXIiOiJibG9iX2lkIn19--d7daf521d9bdfe5ddc2903b1dabce76422b8c946/f" TargetMode="External"/><Relationship Id="rId124" Type="http://schemas.openxmlformats.org/officeDocument/2006/relationships/hyperlink" Target="https://budget.go.ug/sites/default/files/National%20Budget%20docs/National%20Budget%20Framework%20Paper%20FY%202020-21_0.pdf" TargetMode="External"/><Relationship Id="rId123" Type="http://schemas.openxmlformats.org/officeDocument/2006/relationships/hyperlink" Target="https://www.finance.go.ug/sites/default/files/Publications/FY%202020-21%20Budget%20Speech_Final.pdf" TargetMode="External"/><Relationship Id="rId122" Type="http://schemas.openxmlformats.org/officeDocument/2006/relationships/hyperlink" Target="https://www.resmigazete.gov.tr/eskiler/2019/05/20190512-1.htm" TargetMode="External"/><Relationship Id="rId95" Type="http://schemas.openxmlformats.org/officeDocument/2006/relationships/hyperlink" Target="https://climate-laws.org/rails/active_storage/blobs/eyJfcmFpbHMiOnsibWVzc2FnZSI6IkJBaHBBa1FHIiwiZXhwIjpudWxsLCJwdXIiOiJibG9iX2lkIn19--7cf43a7a0570d4b01060bb3072faa4b1827d2ef5/f" TargetMode="External"/><Relationship Id="rId94" Type="http://schemas.openxmlformats.org/officeDocument/2006/relationships/hyperlink" Target="https://climate-laws.org/rails/active_storage/blobs/eyJfcmFpbHMiOnsibWVzc2FnZSI6IkJBaHBBc1lLIiwiZXhwIjpudWxsLCJwdXIiOiJibG9iX2lkIn19--79a57d818e08096cfa2f6370e3aebc334c92f543/1695%20English.pdf" TargetMode="External"/><Relationship Id="rId97" Type="http://schemas.openxmlformats.org/officeDocument/2006/relationships/hyperlink" Target="https://climate-laws.org/rails/active_storage/blobs/eyJfcmFpbHMiOnsibWVzc2FnZSI6IkJBaHBBbGtKIiwiZXhwIjpudWxsLCJwdXIiOiJibG9iX2lkIn19--259c24ca562813a79080723a5968ccb6c0109fa9/F" TargetMode="External"/><Relationship Id="rId96" Type="http://schemas.openxmlformats.org/officeDocument/2006/relationships/hyperlink" Target="https://climate-laws.org/rails/active_storage/blobs/eyJfcmFpbHMiOnsibWVzc2FnZSI6IkJBaHBBbU1PIiwiZXhwIjpudWxsLCJwdXIiOiJibG9iX2lkIn19--6e48fdcdbc249ab8f7215f02be1c7b015319c77e/NCCRS-2021-2026_-Final_PK.pdf" TargetMode="External"/><Relationship Id="rId11" Type="http://schemas.openxmlformats.org/officeDocument/2006/relationships/hyperlink" Target="https://www.2050cnc.go.kr/base/contents/view?contentsNo=7&amp;menuLevel=2&amp;menuNo=1" TargetMode="External"/><Relationship Id="rId99" Type="http://schemas.openxmlformats.org/officeDocument/2006/relationships/hyperlink" Target="https://climate-laws.org/rails/active_storage/blobs/eyJfcmFpbHMiOnsibWVzc2FnZSI6IkJBaHBBb0lJIiwiZXhwIjpudWxsLCJwdXIiOiJibG9iX2lkIn19--a227207797d80a5682849c25aabccceec2cf1188/f" TargetMode="External"/><Relationship Id="rId10" Type="http://schemas.openxmlformats.org/officeDocument/2006/relationships/hyperlink" Target="https://www.2050cnc.go.kr/base/contents/view?contentsNo=7&amp;menuLevel=2&amp;menuNo=1%7Cko" TargetMode="External"/><Relationship Id="rId98" Type="http://schemas.openxmlformats.org/officeDocument/2006/relationships/hyperlink" Target="https://climate-laws.org/rails/active_storage/blobs/eyJfcmFpbHMiOnsibWVzc2FnZSI6IkJBaHBBc2NLIiwiZXhwIjpudWxsLCJwdXIiOiJibG9iX2lkIn19--87d7008436250cb83cf4042986d6b600f9000ab8/1710%20English.pdf" TargetMode="External"/><Relationship Id="rId13" Type="http://schemas.openxmlformats.org/officeDocument/2006/relationships/hyperlink" Target="https://climate-laws.org/rails/active_storage/blobs/eyJfcmFpbHMiOnsibWVzc2FnZSI6IkJBaHBBdVVPIiwiZXhwIjpudWxsLCJwdXIiOiJibG9iX2lkIn19--5a23d89d3248dcff2cc6081572c79252b6a8003f/2030%20%EA%B5%AD%EA%B0%80%20%EC%98%A8%EC%8B%A4%EA%B0%80%EC%8A%A4%20%EA%B0%90%EC%B6%95%EB%AA%A9%ED%91%9C(NDC)%20%EC%83%81%ED%96%A5%EC%95%88.pdf" TargetMode="External"/><Relationship Id="rId12" Type="http://schemas.openxmlformats.org/officeDocument/2006/relationships/hyperlink" Target="https://climate-laws.org/rails/active_storage/blobs/eyJfcmFpbHMiOnsibWVzc2FnZSI6IkJBaHBBdVFPIiwiZXhwIjpudWxsLCJwdXIiOiJibG9iX2lkIn19--267a097f1837a12618c4441f77aa878f1486c2a0/2050%20%ED%83%84%EC%86%8C%EC%A4%91%EB%A6%BD%20%EC%8B%9C%EB%82%98%EB%A6%AC%EC%98%A4%EC%95%88.pdf" TargetMode="External"/><Relationship Id="rId91" Type="http://schemas.openxmlformats.org/officeDocument/2006/relationships/hyperlink" Target="https://www.bfe.admin.ch/bfe/en/home/policy/energy-strategy-2050.html" TargetMode="External"/><Relationship Id="rId90" Type="http://schemas.openxmlformats.org/officeDocument/2006/relationships/hyperlink" Target="https://climate-laws.org/rails/active_storage/blobs/eyJfcmFpbHMiOnsibWVzc2FnZSI6IkJBaHBBc1FLIiwiZXhwIjpudWxsLCJwdXIiOiJibG9iX2lkIn19--4ecfd800d937c37223e2bfe4d3be6c748f7ff8ca/1694%20English.pdf" TargetMode="External"/><Relationship Id="rId93" Type="http://schemas.openxmlformats.org/officeDocument/2006/relationships/hyperlink" Target="https://climate-laws.org/rails/active_storage/blobs/eyJfcmFpbHMiOnsibWVzc2FnZSI6IkJBaHBBc1VLIiwiZXhwIjpudWxsLCJwdXIiOiJibG9iX2lkIn19--77efe90b54548c2b6e161733d9e82bdaf4763824/1695%20Russian.pdf" TargetMode="External"/><Relationship Id="rId92" Type="http://schemas.openxmlformats.org/officeDocument/2006/relationships/hyperlink" Target="https://climate-laws.org/rails/active_storage/blobs/eyJfcmFpbHMiOnsibWVzc2FnZSI6IkJBaHBBZzBPIiwiZXhwIjpudWxsLCJwdXIiOiJibG9iX2lkIn19--f69dbf021420613a398dd882b254a863fdc3af11/8993-ES2050_Standardreferat_2018.01.18_E.pdf" TargetMode="External"/><Relationship Id="rId118" Type="http://schemas.openxmlformats.org/officeDocument/2006/relationships/hyperlink" Target="https://climate-laws.org/rails/active_storage/blobs/eyJfcmFpbHMiOnsibWVzc2FnZSI6IkJBaHBBbEVNIiwiZXhwIjpudWxsLCJwdXIiOiJibG9iX2lkIn19--8a78ebd60d969c7d8c9ea72ca069d5e244b5d79e/20200728REG%20elec%20turkey.pdf" TargetMode="External"/><Relationship Id="rId117" Type="http://schemas.openxmlformats.org/officeDocument/2006/relationships/hyperlink" Target="https://policy.asiapacificenergy.org/sites/default/files/Electricity%20Market%20Law%206446%20-%20English.pdf(7-mar-18),https://policy.asiapacificenergy.org/sites/default/files/The%20electricity%20market%20legislation.pdf(7-mar-18)" TargetMode="External"/><Relationship Id="rId116" Type="http://schemas.openxmlformats.org/officeDocument/2006/relationships/hyperlink" Target="https://climate-laws.org/rails/active_storage/blobs/eyJfcmFpbHMiOnsibWVzc2FnZSI6IkJBaHBBdFlLIiwiZXhwIjpudWxsLCJwdXIiOiJibG9iX2lkIn19--a01bd4edaea5bf13401100de57d6db7f54b14e00/2001%20English.pdf" TargetMode="External"/><Relationship Id="rId115" Type="http://schemas.openxmlformats.org/officeDocument/2006/relationships/hyperlink" Target="https://climate-laws.org/rails/active_storage/blobs/eyJfcmFpbHMiOnsibWVzc2FnZSI6IkJBaHBBdFVLIiwiZXhwIjpudWxsLCJwdXIiOiJibG9iX2lkIn19--ec2bb1fecd6c73a6fc927b6eaeb2630f14c95806/2001%20Turkish.pdf" TargetMode="External"/><Relationship Id="rId119" Type="http://schemas.openxmlformats.org/officeDocument/2006/relationships/hyperlink" Target="https://www.resmigazete.gov.tr/eskiler/2016/06/20160624-1.htm" TargetMode="External"/><Relationship Id="rId15" Type="http://schemas.openxmlformats.org/officeDocument/2006/relationships/hyperlink" Target="https://climate-laws.org/rails/active_storage/blobs/eyJfcmFpbHMiOnsibWVzc2FnZSI6IkJBaHBBcDRJIiwiZXhwIjpudWxsLCJwdXIiOiJibG9iX2lkIn19--7f4b9b06793f0493c80cf11e4427f27faf7bf969/f" TargetMode="External"/><Relationship Id="rId110" Type="http://schemas.openxmlformats.org/officeDocument/2006/relationships/hyperlink" Target="https://climate-laws.org/rails/active_storage/blobs/eyJfcmFpbHMiOnsibWVzc2FnZSI6IkJBaHBBc3dLIiwiZXhwIjpudWxsLCJwdXIiOiJibG9iX2lkIn19--082278d03b7ab27b361eb64a9a8dc30eabd81719/1723%20Turkish.pdf" TargetMode="External"/><Relationship Id="rId14" Type="http://schemas.openxmlformats.org/officeDocument/2006/relationships/hyperlink" Target="https://www.boe.es/buscar/pdf/2011/BOE-A-2011-4117-consolidado.pdf" TargetMode="External"/><Relationship Id="rId17" Type="http://schemas.openxmlformats.org/officeDocument/2006/relationships/hyperlink" Target="https://climate-laws.org/rails/active_storage/blobs/eyJfcmFpbHMiOnsibWVzc2FnZSI6IkJBaHBBclVLIiwiZXhwIjpudWxsLCJwdXIiOiJibG9iX2lkIn19--0389b20592032a285dc31b2977adf54b040d8b98/1674%20Spanish.pdf" TargetMode="External"/><Relationship Id="rId16" Type="http://schemas.openxmlformats.org/officeDocument/2006/relationships/hyperlink" Target="http://www.lse.ac.uk/GranthamInstitute/wp-content/uploads/laws/1674%20English.pdf" TargetMode="External"/><Relationship Id="rId19" Type="http://schemas.openxmlformats.org/officeDocument/2006/relationships/hyperlink" Target="https://www.boe.es/diario_boe/txt.php?id=BOE-A-1998-3735" TargetMode="External"/><Relationship Id="rId114" Type="http://schemas.openxmlformats.org/officeDocument/2006/relationships/hyperlink" Target="https://cakmak.av.tr/wp-content/uploads/2019/07/1-Law-No.-6094-Amending-The-Renewable-Energy-Law-1.pdf" TargetMode="External"/><Relationship Id="rId18" Type="http://schemas.openxmlformats.org/officeDocument/2006/relationships/hyperlink" Target="https://www.boe.es/diario_boe/txt.php?id=BOE-A-1998-3735%7Ces" TargetMode="External"/><Relationship Id="rId113" Type="http://schemas.openxmlformats.org/officeDocument/2006/relationships/hyperlink" Target="https://www.resmigazete.gov.tr/eskiler/2020/09/20200918.pdf" TargetMode="External"/><Relationship Id="rId112" Type="http://schemas.openxmlformats.org/officeDocument/2006/relationships/hyperlink" Target="https://www.resmigazete.gov.tr/eskiler/2020/03/20200326M1-1.htm" TargetMode="External"/><Relationship Id="rId111" Type="http://schemas.openxmlformats.org/officeDocument/2006/relationships/hyperlink" Target="https://climate-laws.org/rails/active_storage/blobs/eyJfcmFpbHMiOnsibWVzc2FnZSI6IkJBaHBBczBLIiwiZXhwIjpudWxsLCJwdXIiOiJibG9iX2lkIn19--545bb6842aa518adb459df6ed7c80983f1f63b91/1723%20English.pdf" TargetMode="External"/><Relationship Id="rId84" Type="http://schemas.openxmlformats.org/officeDocument/2006/relationships/hyperlink" Target="https://climate-laws.org/rails/active_storage/blobs/eyJfcmFpbHMiOnsibWVzc2FnZSI6IkJBaHBBc0FLIiwiZXhwIjpudWxsLCJwdXIiOiJibG9iX2lkIn19--b6ec7f742786e27c92fccb51d307fba0cde4fd2c/1693%20German.pdf" TargetMode="External"/><Relationship Id="rId83" Type="http://schemas.openxmlformats.org/officeDocument/2006/relationships/hyperlink" Target="https://climate-laws.org/rails/active_storage/blobs/eyJfcmFpbHMiOnsibWVzc2FnZSI6IkJBaHBBcjhLIiwiZXhwIjpudWxsLCJwdXIiOiJibG9iX2lkIn19--12763d45636af1036ec7cfcf552f482a545afdc6/1692%20French.pdf" TargetMode="External"/><Relationship Id="rId86" Type="http://schemas.openxmlformats.org/officeDocument/2006/relationships/hyperlink" Target="https://www.fedlex.admin.ch/eli/cc/2017/762/fr" TargetMode="External"/><Relationship Id="rId85" Type="http://schemas.openxmlformats.org/officeDocument/2006/relationships/hyperlink" Target="https://climate-laws.org/rails/active_storage/blobs/eyJfcmFpbHMiOnsibWVzc2FnZSI6IkJBaHBBc0VLIiwiZXhwIjpudWxsLCJwdXIiOiJibG9iX2lkIn19--cb9f498c1ddd223d5f03b5b5cc052b7b2e529eba/1693%20French.pdf" TargetMode="External"/><Relationship Id="rId88" Type="http://schemas.openxmlformats.org/officeDocument/2006/relationships/hyperlink" Target="https://climate-laws.org/rails/active_storage/blobs/eyJfcmFpbHMiOnsibWVzc2FnZSI6IkJBaHBBc0lLIiwiZXhwIjpudWxsLCJwdXIiOiJibG9iX2lkIn19--101368e6e178e0131ad2c65044bc1231e1f8e7fb/1694%20German.pdf" TargetMode="External"/><Relationship Id="rId87" Type="http://schemas.openxmlformats.org/officeDocument/2006/relationships/hyperlink" Target="https://www.fedlex.admin.ch/eli/cc/2017/765/fr" TargetMode="External"/><Relationship Id="rId89" Type="http://schemas.openxmlformats.org/officeDocument/2006/relationships/hyperlink" Target="https://climate-laws.org/rails/active_storage/blobs/eyJfcmFpbHMiOnsibWVzc2FnZSI6IkJBaHBBc01LIiwiZXhwIjpudWxsLCJwdXIiOiJibG9iX2lkIn19--38c972c8baeb9a7ced96e9dd67336baf5336b3a7/1694%20French.pdf" TargetMode="External"/><Relationship Id="rId80" Type="http://schemas.openxmlformats.org/officeDocument/2006/relationships/hyperlink" Target="https://climate-laws.org/rails/active_storage/blobs/eyJfcmFpbHMiOnsibWVzc2FnZSI6IkJBaHBBcndLIiwiZXhwIjpudWxsLCJwdXIiOiJibG9iX2lkIn19--79012d238f25103bb71562b71e239c3dfb84485f/1691%20German.pdf" TargetMode="External"/><Relationship Id="rId82" Type="http://schemas.openxmlformats.org/officeDocument/2006/relationships/hyperlink" Target="https://climate-laws.org/rails/active_storage/blobs/eyJfcmFpbHMiOnsibWVzc2FnZSI6IkJBaHBBcjRLIiwiZXhwIjpudWxsLCJwdXIiOiJibG9iX2lkIn19--1de2520b077319fb106dc2b8f8bed9364dde4de3/1692%20German.pdf" TargetMode="External"/><Relationship Id="rId81" Type="http://schemas.openxmlformats.org/officeDocument/2006/relationships/hyperlink" Target="https://climate-laws.org/rails/active_storage/blobs/eyJfcmFpbHMiOnsibWVzc2FnZSI6IkJBaHBBcjBLIiwiZXhwIjpudWxsLCJwdXIiOiJibG9iX2lkIn19--003b65e728ec291f494115676d9d5594c8b97dcb/1691%20French.pdf" TargetMode="External"/><Relationship Id="rId1" Type="http://schemas.openxmlformats.org/officeDocument/2006/relationships/hyperlink" Target="https://climate-laws.org/rails/active_storage/blobs/eyJfcmFpbHMiOnsibWVzc2FnZSI6IkJBaHBBdHdFIiwiZXhwIjpudWxsLCJwdXIiOiJibG9iX2lkIn19--b0aae03b218eb3ec05994961d832606b678d6fbe/f" TargetMode="External"/><Relationship Id="rId2" Type="http://schemas.openxmlformats.org/officeDocument/2006/relationships/hyperlink" Target="https://climate-laws.org/rails/active_storage/blobs/eyJfcmFpbHMiOnsibWVzc2FnZSI6IkJBaHBBdDBFIiwiZXhwIjpudWxsLCJwdXIiOiJibG9iX2lkIn19--e43700760b4162f4b25c82b194954befdd17d490/f" TargetMode="External"/><Relationship Id="rId3" Type="http://schemas.openxmlformats.org/officeDocument/2006/relationships/hyperlink" Target="https://climate-laws.org/rails/active_storage/blobs/eyJfcmFpbHMiOnsibWVzc2FnZSI6IkJBaHBBdG9FIiwiZXhwIjpudWxsLCJwdXIiOiJibG9iX2lkIn19--7c1ac8e77b149850958f84d29b3e8ca216e8ffef/f" TargetMode="External"/><Relationship Id="rId4" Type="http://schemas.openxmlformats.org/officeDocument/2006/relationships/hyperlink" Target="http://pravo.gov.ru/proxy/ips/?docbody=&amp;nd=102356583&amp;rdk=%7C" TargetMode="External"/><Relationship Id="rId9" Type="http://schemas.openxmlformats.org/officeDocument/2006/relationships/hyperlink" Target="https://climate-laws.org/rails/active_storage/blobs/eyJfcmFpbHMiOnsibWVzc2FnZSI6IkJBaHBBdUVPIiwiZXhwIjpudWxsLCJwdXIiOiJibG9iX2lkIn19--918217974b2e6c082d2461dd372baf35bda5f7d4/lsPdfPrint.do.pdf" TargetMode="External"/><Relationship Id="rId5" Type="http://schemas.openxmlformats.org/officeDocument/2006/relationships/hyperlink" Target="http://pravo.gov.ru/proxy/ips/?docbody=&amp;nd=102356583&amp;rdk=" TargetMode="External"/><Relationship Id="rId6" Type="http://schemas.openxmlformats.org/officeDocument/2006/relationships/hyperlink" Target="https://english.moef.go.kr/pc/selectTbPressCenterDtl.do?boardCd=N0001&amp;seq=4948%7Cen" TargetMode="External"/><Relationship Id="rId7" Type="http://schemas.openxmlformats.org/officeDocument/2006/relationships/hyperlink" Target="https://english.moef.go.kr/pc/selectTbPressCenterDtl.do?boardCd=N0001&amp;seq=4948" TargetMode="External"/><Relationship Id="rId8" Type="http://schemas.openxmlformats.org/officeDocument/2006/relationships/hyperlink" Target="https://climate-laws.org/rails/active_storage/blobs/eyJfcmFpbHMiOnsibWVzc2FnZSI6IkJBaHBBaDRPIiwiZXhwIjpudWxsLCJwdXIiOiJibG9iX2lkIn19--1cf283c54706262064526f5c192d9b504b1fd4ee/Korean%20New%20Deal.pdf" TargetMode="External"/><Relationship Id="rId73" Type="http://schemas.openxmlformats.org/officeDocument/2006/relationships/hyperlink" Target="https://www.newsd.admin.ch/newsd/message/attachments/63983.pdf" TargetMode="External"/><Relationship Id="rId72" Type="http://schemas.openxmlformats.org/officeDocument/2006/relationships/hyperlink" Target="https://climate-laws.org/rails/active_storage/blobs/eyJfcmFpbHMiOnsibWVzc2FnZSI6IkJBaHBBaWNLIiwiZXhwIjpudWxsLCJwdXIiOiJibG9iX2lkIn19--345a20dd7ea4d39d23cad26016cd6b9f5961e2c1/f" TargetMode="External"/><Relationship Id="rId75" Type="http://schemas.openxmlformats.org/officeDocument/2006/relationships/hyperlink" Target="http://www.lse.ac.uk/GranthamInstitute/wp-content/uploads/laws/1689%20French.pdf" TargetMode="External"/><Relationship Id="rId74" Type="http://schemas.openxmlformats.org/officeDocument/2006/relationships/hyperlink" Target="https://www.newsd.admin.ch/newsd/message/attachments/63990.pdf" TargetMode="External"/><Relationship Id="rId77" Type="http://schemas.openxmlformats.org/officeDocument/2006/relationships/hyperlink" Target="https://climate-laws.org/rails/active_storage/blobs/eyJfcmFpbHMiOnsibWVzc2FnZSI6IkJBaHBBcmtLIiwiZXhwIjpudWxsLCJwdXIiOiJibG9iX2lkIn19--55eb8332021ae9986dcb1b13f515b36a23b19c19/1690%20German.pdf" TargetMode="External"/><Relationship Id="rId76" Type="http://schemas.openxmlformats.org/officeDocument/2006/relationships/hyperlink" Target="http://www.lse.ac.uk/GranthamInstitute/wp-content/uploads/laws/1689%20German.pdf" TargetMode="External"/><Relationship Id="rId79" Type="http://schemas.openxmlformats.org/officeDocument/2006/relationships/hyperlink" Target="https://climate-laws.org/rails/active_storage/blobs/eyJfcmFpbHMiOnsibWVzc2FnZSI6IkJBaHBBcnNLIiwiZXhwIjpudWxsLCJwdXIiOiJibG9iX2lkIn19--d38e15c59212015e1b5ffb40e36a87f85f4e8f98/1690%20English.pdf" TargetMode="External"/><Relationship Id="rId78" Type="http://schemas.openxmlformats.org/officeDocument/2006/relationships/hyperlink" Target="https://climate-laws.org/rails/active_storage/blobs/eyJfcmFpbHMiOnsibWVzc2FnZSI6IkJBaHBBcm9LIiwiZXhwIjpudWxsLCJwdXIiOiJibG9iX2lkIn19--f4ed01e895471b0e2fa9bf916ab2d5ea43436e64/1690%20French.pdf" TargetMode="External"/><Relationship Id="rId71" Type="http://schemas.openxmlformats.org/officeDocument/2006/relationships/hyperlink" Target="https://www.esv.se/statsliggaren/regleringsbrev/?rbid=21440" TargetMode="External"/><Relationship Id="rId70" Type="http://schemas.openxmlformats.org/officeDocument/2006/relationships/hyperlink" Target="https://www.esv.se/statsliggaren/regleringsbrev/?rbid=21440%7Csv" TargetMode="External"/><Relationship Id="rId62" Type="http://schemas.openxmlformats.org/officeDocument/2006/relationships/hyperlink" Target="https://www.government.se/49c150/contentassets/811c575eb9654a6383cf0ed4e0d5db14/the-swedish-climate-act.pdf?TSPD_101_R0=088d4528d9ab2000ca35be284c96e742d836b609c7a8950589c69ae57318a6f4ea3a7fab1f972f9e089a7b80d3143000531b81c3dba02d71d02f206fa91fc67c9daf5b4d46ce10b4835937696c016cd7285b8b13cc778e5365f7b95ce96febee" TargetMode="External"/><Relationship Id="rId61" Type="http://schemas.openxmlformats.org/officeDocument/2006/relationships/hyperlink" Target="https://www.government.se/49c150/contentassets/811c575eb9654a6383cf0ed4e0d5db14/the-swedish-climate-act.pdf?TSPD_101_R0=088d4528d9ab2000ca35be284c96e742d836b609c7a8950589c69ae57318a6f4ea3a7fab1f972f9e089a7b80d3143000531b81c3dba02d71d02f206fa91fc67c9daf5b4d46ce10b4835937696c016cd7285b8b13cc778e5365f7b95ce96febee%7Cen" TargetMode="External"/><Relationship Id="rId64" Type="http://schemas.openxmlformats.org/officeDocument/2006/relationships/hyperlink" Target="https://www.government.se/information-material/2018/03/the-swedish-climate-policy-framework/" TargetMode="External"/><Relationship Id="rId63" Type="http://schemas.openxmlformats.org/officeDocument/2006/relationships/hyperlink" Target="https://climate-laws.org/rails/active_storage/blobs/eyJfcmFpbHMiOnsibWVzc2FnZSI6IkJBaHBBcjRGIiwiZXhwIjpudWxsLCJwdXIiOiJibG9iX2lkIn19--238ef5561e56300c9e8ce66d97c13e253eaf3579/f" TargetMode="External"/><Relationship Id="rId66" Type="http://schemas.openxmlformats.org/officeDocument/2006/relationships/hyperlink" Target="https://www.regeringen.se/regeringens-politik/nationell-strategi-for-klimatanpassning/" TargetMode="External"/><Relationship Id="rId65" Type="http://schemas.openxmlformats.org/officeDocument/2006/relationships/hyperlink" Target="https://climate-laws.org/rails/active_storage/blobs/eyJfcmFpbHMiOnsibWVzc2FnZSI6IkJBaHBBZ0FGIiwiZXhwIjpudWxsLCJwdXIiOiJibG9iX2lkIn19--208aa69ea886995b1892ee2db3f97b1b233dc7e1/f" TargetMode="External"/><Relationship Id="rId68" Type="http://schemas.openxmlformats.org/officeDocument/2006/relationships/hyperlink" Target="https://ec.europa.eu/energy/sites/ener/files/documents/se_final_necp_main_se.pdf" TargetMode="External"/><Relationship Id="rId67" Type="http://schemas.openxmlformats.org/officeDocument/2006/relationships/hyperlink" Target="https://ec.europa.eu/energy/sites/ener/files/documents/se_final_necp_main_en.pdf" TargetMode="External"/><Relationship Id="rId60" Type="http://schemas.openxmlformats.org/officeDocument/2006/relationships/hyperlink" Target="https://climate-laws.org/rails/active_storage/blobs/eyJfcmFpbHMiOnsibWVzc2FnZSI6IkJBaHBBajRHIiwiZXhwIjpudWxsLCJwdXIiOiJibG9iX2lkIn19--124ae13eaf84010b34550bd990643d0fea98ee24/f" TargetMode="External"/><Relationship Id="rId69" Type="http://schemas.openxmlformats.org/officeDocument/2006/relationships/hyperlink" Target="https://www.riksdagen.se/sv/dokument-lagar/dokument/svensk-forfattningssamling/forordning-20171319-om-statligt-stod-till_sfs-2017-1319" TargetMode="External"/><Relationship Id="rId51" Type="http://schemas.openxmlformats.org/officeDocument/2006/relationships/hyperlink" Target="http://www.energy.gov.lk/images/resources/downloads/national-energy-policy-2019-en.pdf" TargetMode="External"/><Relationship Id="rId50" Type="http://schemas.openxmlformats.org/officeDocument/2006/relationships/hyperlink" Target="https://climate-laws.org/rails/active_storage/blobs/eyJfcmFpbHMiOnsibWVzc2FnZSI6IkJBaHBBandIIiwiZXhwIjpudWxsLCJwdXIiOiJibG9iX2lkIn19--9b4769d96ce629ac30210f7e0c6a50b678f3f81f/f" TargetMode="External"/><Relationship Id="rId53" Type="http://schemas.openxmlformats.org/officeDocument/2006/relationships/hyperlink" Target="http://extwprlegs1.fao.org/docs/pdf/srl5289.pdf" TargetMode="External"/><Relationship Id="rId52" Type="http://schemas.openxmlformats.org/officeDocument/2006/relationships/hyperlink" Target="http://citizenslanka.org/wp-content/uploads/2016/02/Coast-Conservation-Act-No-57-of-1981-E.pdf" TargetMode="External"/><Relationship Id="rId55" Type="http://schemas.openxmlformats.org/officeDocument/2006/relationships/hyperlink" Target="http://www.lse.ac.uk/GranthamInstitute/wp-content/uploads/2018/02/SURelectricityact16.pdf" TargetMode="External"/><Relationship Id="rId54" Type="http://schemas.openxmlformats.org/officeDocument/2006/relationships/hyperlink" Target="https://www.nvebs.com/wp-content/uploads/2016/03/Elektriciteitswet-2016-zoals-goedgekeurd-door-DNA-dd-1-maart-2016.pdf" TargetMode="External"/><Relationship Id="rId57" Type="http://schemas.openxmlformats.org/officeDocument/2006/relationships/hyperlink" Target="https://climate-laws.org/rails/active_storage/blobs/eyJfcmFpbHMiOnsibWVzc2FnZSI6IkJBaHBBcFlJIiwiZXhwIjpudWxsLCJwdXIiOiJibG9iX2lkIn19--eccb523ab0fabab146a18de77f5c87af65b62019/f" TargetMode="External"/><Relationship Id="rId56" Type="http://schemas.openxmlformats.org/officeDocument/2006/relationships/hyperlink" Target="https://climate-laws.org/rails/active_storage/blobs/eyJfcmFpbHMiOnsibWVzc2FnZSI6IkJBaHBBcFVJIiwiZXhwIjpudWxsLCJwdXIiOiJibG9iX2lkIn19--4292788e2b3b01679ff73557fd77f0b968765d18/f" TargetMode="External"/><Relationship Id="rId59" Type="http://schemas.openxmlformats.org/officeDocument/2006/relationships/hyperlink" Target="https://climate-laws.org/rails/active_storage/blobs/eyJfcmFpbHMiOnsibWVzc2FnZSI6IkJBaHBBcmNLIiwiZXhwIjpudWxsLCJwdXIiOiJibG9iX2lkIn19--407f6e2ea7dc4504f022362a2cc03a2b4d810130/1683%20English.pdf" TargetMode="External"/><Relationship Id="rId58" Type="http://schemas.openxmlformats.org/officeDocument/2006/relationships/hyperlink" Target="https://climate-laws.org/rails/active_storage/blobs/eyJfcmFpbHMiOnsibWVzc2FnZSI6IkJBaHBBcllLIiwiZXhwIjpudWxsLCJwdXIiOiJibG9iX2lkIn19--faafde7029aa431f26795fd5ae64fc88845d7c2b/1683%20Swedish.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pravo.gov.ru/proxy/ips/?docbody=&amp;nd=102356583&amp;rdk=%7C" TargetMode="External"/><Relationship Id="rId2" Type="http://schemas.openxmlformats.org/officeDocument/2006/relationships/hyperlink" Target="https://english.moef.go.kr/pc/selectTbPressCenterDtl.do?boardCd=N0001&amp;seq=4948%7Cen" TargetMode="External"/><Relationship Id="rId3" Type="http://schemas.openxmlformats.org/officeDocument/2006/relationships/hyperlink" Target="https://www.2050cnc.go.kr/base/contents/view?contentsNo=7&amp;menuLevel=2&amp;menuNo=1%7Cko" TargetMode="External"/><Relationship Id="rId4"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40" Type="http://schemas.openxmlformats.org/officeDocument/2006/relationships/hyperlink" Target="https://climate-laws.org/rails/active_storage/blobs/eyJfcmFpbHMiOnsibWVzc2FnZSI6IkJBaHBBc3dKIiwiZXhwIjpudWxsLCJwdXIiOiJibG9iX2lkIn19--2decc3b26ef574299098b1516d200e865417623b/f" TargetMode="External"/><Relationship Id="rId42" Type="http://schemas.openxmlformats.org/officeDocument/2006/relationships/hyperlink" Target="https://climate-laws.org/rails/active_storage/blobs/eyJfcmFpbHMiOnsibWVzc2FnZSI6IkJBaHBBc3NKIiwiZXhwIjpudWxsLCJwdXIiOiJibG9iX2lkIn19--b6ba9cb20100533956c7c949cba342235f163aa4/f" TargetMode="External"/><Relationship Id="rId41" Type="http://schemas.openxmlformats.org/officeDocument/2006/relationships/hyperlink" Target="https://laws-lois.justice.gc.ca/eng/regulations/sor-2013-24/page-1.html" TargetMode="External"/><Relationship Id="rId44" Type="http://schemas.openxmlformats.org/officeDocument/2006/relationships/hyperlink" Target="https://climate-laws.org/rails/active_storage/blobs/eyJfcmFpbHMiOnsibWVzc2FnZSI6IkJBaHBBc2NKIiwiZXhwIjpudWxsLCJwdXIiOiJibG9iX2lkIn19--dcee92be7acf6f42c812a2cfc799918f029f9cd3/f" TargetMode="External"/><Relationship Id="rId43" Type="http://schemas.openxmlformats.org/officeDocument/2006/relationships/hyperlink" Target="https://laws-lois.justice.gc.ca/eng/regulations/sor-2012-167/index.html" TargetMode="External"/><Relationship Id="rId46" Type="http://schemas.openxmlformats.org/officeDocument/2006/relationships/hyperlink" Target="https://laws-lois.justice.gc.ca/eng/regulations/sor-2010-201/index.html" TargetMode="External"/><Relationship Id="rId45" Type="http://schemas.openxmlformats.org/officeDocument/2006/relationships/hyperlink" Target="https://www.canada.ca/en/environment-climate-change/services/canadian-environmental-protection-act-registry/publications/automobile-truck-emission-regulations-discussion.html" TargetMode="External"/><Relationship Id="rId107" Type="http://schemas.openxmlformats.org/officeDocument/2006/relationships/hyperlink" Target="https://www.minambiente.gov.co/index.php/component/content/article/469-plantilla-cambio-climatico-25" TargetMode="External"/><Relationship Id="rId106" Type="http://schemas.openxmlformats.org/officeDocument/2006/relationships/hyperlink" Target="https://www.minambiente.gov.co/index.php/component/content/article/469-plantilla-cambio-climatico-25" TargetMode="External"/><Relationship Id="rId105" Type="http://schemas.openxmlformats.org/officeDocument/2006/relationships/hyperlink" Target="https://climate-laws.org/rails/active_storage/blobs/eyJfcmFpbHMiOnsibWVzc2FnZSI6IkJBaHBBdkFPIiwiZXhwIjpudWxsLCJwdXIiOiJibG9iX2lkIn19--51fdb1cf68ee0cad66a1434f674c64f4eeb18147/P020220322582066837126-2.pdf" TargetMode="External"/><Relationship Id="rId104" Type="http://schemas.openxmlformats.org/officeDocument/2006/relationships/hyperlink" Target="https://climate-laws.org/rails/active_storage/blobs/eyJfcmFpbHMiOnsibWVzc2FnZSI6IkJBaHBBdThPIiwiZXhwIjpudWxsLCJwdXIiOiJibG9iX2lkIn19--1f5df42b6e59d8e53a177b3ee3a047f7ee551176/P020220322582066837126.pdf" TargetMode="External"/><Relationship Id="rId109" Type="http://schemas.openxmlformats.org/officeDocument/2006/relationships/hyperlink" Target="https://climate-laws.org/rails/active_storage/blobs/eyJfcmFpbHMiOnsibWVzc2FnZSI6IkJBaHBBcU1IIiwiZXhwIjpudWxsLCJwdXIiOiJibG9iX2lkIn19--0a43d7169bc16bb39b0e60181082d411f53a8d3d/f" TargetMode="External"/><Relationship Id="rId108" Type="http://schemas.openxmlformats.org/officeDocument/2006/relationships/hyperlink" Target="https://www.minambiente.gov.co/images/cambioclimatico/pdf/Estrategia_Colombiana_de_Desarrollo_Bajo_en_Carbono/FOLLETO_DE_PRESENTACION_ECDBC.pdf" TargetMode="External"/><Relationship Id="rId48" Type="http://schemas.openxmlformats.org/officeDocument/2006/relationships/hyperlink" Target="https://laws-lois.justice.gc.ca/eng/regulations/SOR-2010-189/index.html" TargetMode="External"/><Relationship Id="rId47" Type="http://schemas.openxmlformats.org/officeDocument/2006/relationships/hyperlink" Target="https://climate-laws.org/rails/active_storage/blobs/eyJfcmFpbHMiOnsibWVzc2FnZSI6IkJBaHBBc1VKIiwiZXhwIjpudWxsLCJwdXIiOiJibG9iX2lkIn19--557e8bdd1116ed5bb4dc3a45048ffb1e02954978/f" TargetMode="External"/><Relationship Id="rId49" Type="http://schemas.openxmlformats.org/officeDocument/2006/relationships/hyperlink" Target="https://climate-laws.org/rails/active_storage/blobs/eyJfcmFpbHMiOnsibWVzc2FnZSI6IkJBaHBBbVVNIiwiZXhwIjpudWxsLCJwdXIiOiJibG9iX2lkIn19--afbc5615d9a862f5ba90dd14768ff97f07098cc6/2017_GHGRP_Quantification_Requirements_EN_2017-12-21.pdf" TargetMode="External"/><Relationship Id="rId103" Type="http://schemas.openxmlformats.org/officeDocument/2006/relationships/hyperlink" Target="https://climate-laws.org/rails/active_storage/blobs/eyJfcmFpbHMiOnsibWVzc2FnZSI6IkJBaHBBdllPIiwiZXhwIjpudWxsLCJwdXIiOiJibG9iX2lkIn19--ab54f5f9069ccbcb15bc11f2b360d28a5c14eec1/P020220323314396580505.pdf" TargetMode="External"/><Relationship Id="rId102" Type="http://schemas.openxmlformats.org/officeDocument/2006/relationships/hyperlink" Target="https://www.ndrc.gov.cn/xxgk/jd/zctj/202203/t20220323_1320046.html?code=&amp;state=123" TargetMode="External"/><Relationship Id="rId101" Type="http://schemas.openxmlformats.org/officeDocument/2006/relationships/hyperlink" Target="https://www.ndrc.gov.cn/xxgk/jd/zctj/202203/t20220323_1320046.html?code=&amp;state=123%7Czh" TargetMode="External"/><Relationship Id="rId100" Type="http://schemas.openxmlformats.org/officeDocument/2006/relationships/hyperlink" Target="https://climate-laws.org/rails/active_storage/blobs/eyJfcmFpbHMiOnsibWVzc2FnZSI6IkJBaHBBdTRPIiwiZXhwIjpudWxsLCJwdXIiOiJibG9iX2lkIn19--cf855e6bdf7bb30ebeecf0ee9f0b62db19234a1d/ENG-NDRC-REPORT-2022-ENG.pdf" TargetMode="External"/><Relationship Id="rId31" Type="http://schemas.openxmlformats.org/officeDocument/2006/relationships/hyperlink" Target="https://ec.europa.eu/energy/sites/ener/files/documents/bg_final_necp_main_bg.pdf" TargetMode="External"/><Relationship Id="rId30" Type="http://schemas.openxmlformats.org/officeDocument/2006/relationships/hyperlink" Target="https://ec.europa.eu/energy/sites/ener/files/documents/bg_final_necp_main_en.pdf" TargetMode="External"/><Relationship Id="rId33" Type="http://schemas.openxmlformats.org/officeDocument/2006/relationships/hyperlink" Target="https://ec.europa.eu/info/business-economy-euro/recovery-coronavirus/recovery-and-resilience-facility/recovery-and-resilience-plan-bulgaria_en" TargetMode="External"/><Relationship Id="rId32" Type="http://schemas.openxmlformats.org/officeDocument/2006/relationships/hyperlink" Target="https://nextgeneration.bg/14" TargetMode="External"/><Relationship Id="rId35" Type="http://schemas.openxmlformats.org/officeDocument/2006/relationships/hyperlink" Target="https://climate-laws.org/rails/active_storage/blobs/eyJfcmFpbHMiOnsibWVzc2FnZSI6IkJBaHBBdmdPIiwiZXhwIjpudWxsLCJwdXIiOiJibG9iX2lkIn19--3804837ec201f2cbc02defc3d74a03340fa4f7e5/npvu-en-08022021.pdf" TargetMode="External"/><Relationship Id="rId34" Type="http://schemas.openxmlformats.org/officeDocument/2006/relationships/hyperlink" Target="https://ec.europa.eu/info/business-economy-euro/recovery-coronavirus/recovery-and-resilience-facility/recovery-and-resilience-plan-bulgaria_en" TargetMode="External"/><Relationship Id="rId37" Type="http://schemas.openxmlformats.org/officeDocument/2006/relationships/hyperlink" Target="https://climate-laws.org/rails/active_storage/blobs/eyJfcmFpbHMiOnsibWVzc2FnZSI6IkJBaHBBdmNOIiwiZXhwIjpudWxsLCJwdXIiOiJibG9iX2lkIn19--e6f04d06bbd604973d1fd3e6223d346f08d6d8be/nsdp-2019-2023_kh.pdf" TargetMode="External"/><Relationship Id="rId36" Type="http://schemas.openxmlformats.org/officeDocument/2006/relationships/hyperlink" Target="https://climate-laws.org/rails/active_storage/blobs/eyJfcmFpbHMiOnsibWVzc2FnZSI6IkJBaHBBdllOIiwiZXhwIjpudWxsLCJwdXIiOiJibG9iX2lkIn19--9b3a471d1b6554e906ba26b5c4742177b935511d/nsdp-2019-2023_en.pdf" TargetMode="External"/><Relationship Id="rId39" Type="http://schemas.openxmlformats.org/officeDocument/2006/relationships/hyperlink" Target="https://climate-laws.org/rails/active_storage/blobs/eyJfcmFpbHMiOnsibWVzc2FnZSI6IkJBaHBBaWNJIiwiZXhwIjpudWxsLCJwdXIiOiJibG9iX2lkIn19--8fc5805e67d47728d1f3b502306aaf37ce18958b/f" TargetMode="External"/><Relationship Id="rId38" Type="http://schemas.openxmlformats.org/officeDocument/2006/relationships/hyperlink" Target="https://climate-laws.org/rails/active_storage/blobs/eyJfcmFpbHMiOnsibWVzc2FnZSI6IkJBaHBBaVlJIiwiZXhwIjpudWxsLCJwdXIiOiJibG9iX2lkIn19--7a436ad913dfaab273c6de015c6f68689f7e2844/f" TargetMode="External"/><Relationship Id="rId20" Type="http://schemas.openxmlformats.org/officeDocument/2006/relationships/hyperlink" Target="http://www.lse.ac.uk/GranthamInstitute/wp-content/uploads/laws/1103.pdf" TargetMode="External"/><Relationship Id="rId22" Type="http://schemas.openxmlformats.org/officeDocument/2006/relationships/hyperlink" Target="http://www.lse.ac.uk/GranthamInstitute/wp-content/uploads/laws/1107.pdf" TargetMode="External"/><Relationship Id="rId21" Type="http://schemas.openxmlformats.org/officeDocument/2006/relationships/hyperlink" Target="https://climate-laws.org/rails/active_storage/blobs/eyJfcmFpbHMiOnsibWVzc2FnZSI6IkJBaHBBbm9LIiwiZXhwIjpudWxsLCJwdXIiOiJibG9iX2lkIn19--dd6ac4dd84fee978b11388745061d52f5090c26b/1103translation.pdf" TargetMode="External"/><Relationship Id="rId24" Type="http://schemas.openxmlformats.org/officeDocument/2006/relationships/hyperlink" Target="http://www.lse.ac.uk/GranthamInstitute/wp-content/uploads/laws/1109a.pdf" TargetMode="External"/><Relationship Id="rId23" Type="http://schemas.openxmlformats.org/officeDocument/2006/relationships/hyperlink" Target="https://climate-laws.org/rails/active_storage/blobs/eyJfcmFpbHMiOnsibWVzc2FnZSI6IkJBaHBBbnNLIiwiZXhwIjpudWxsLCJwdXIiOiJibG9iX2lkIn19--ad364176f3a88f435a58267a944c0d1285cbcbec/1107translation.pdf" TargetMode="External"/><Relationship Id="rId129" Type="http://schemas.openxmlformats.org/officeDocument/2006/relationships/hyperlink" Target="https://climate-laws.org/rails/active_storage/blobs/eyJfcmFpbHMiOnsibWVzc2FnZSI6IkJBaHBBbjhLIiwiZXhwIjpudWxsLCJwdXIiOiJibG9iX2lkIn19--9a61b3f75c25f6825c440627756d95c7982720d9/1128new%20decree%20of%202016.pdf" TargetMode="External"/><Relationship Id="rId128" Type="http://schemas.openxmlformats.org/officeDocument/2006/relationships/hyperlink" Target="http://www.lse.ac.uk/GranthamInstitute/wp-content/uploads/laws/1128.pdf" TargetMode="External"/><Relationship Id="rId127" Type="http://schemas.openxmlformats.org/officeDocument/2006/relationships/hyperlink" Target="http://www.lse.ac.uk/GranthamInstitute/wp-content/uploads/2018/04/Cook-islands-policy-2013-16.pdf" TargetMode="External"/><Relationship Id="rId126" Type="http://schemas.openxmlformats.org/officeDocument/2006/relationships/hyperlink" Target="http://www.mfem.gov.ck/images/Climate__Disaster_Compatible_Development_Policy_Final_copy.pdf" TargetMode="External"/><Relationship Id="rId26" Type="http://schemas.openxmlformats.org/officeDocument/2006/relationships/hyperlink" Target="https://climate-laws.org/rails/active_storage/blobs/eyJfcmFpbHMiOnsibWVzc2FnZSI6IkJBaHBBbndLIiwiZXhwIjpudWxsLCJwdXIiOiJibG9iX2lkIn19--bd72bad98fb2f7c08d9acf0595094347fd065cf7/1109atranslation.pdf" TargetMode="External"/><Relationship Id="rId121" Type="http://schemas.openxmlformats.org/officeDocument/2006/relationships/hyperlink" Target="https://www.minenergia.gov.co/documents/10180/23517/48961-40179.pdf" TargetMode="External"/><Relationship Id="rId25" Type="http://schemas.openxmlformats.org/officeDocument/2006/relationships/hyperlink" Target="http://www.lse.ac.uk/GranthamInstitute/wp-content/uploads/laws/1109b.pdf" TargetMode="External"/><Relationship Id="rId120" Type="http://schemas.openxmlformats.org/officeDocument/2006/relationships/hyperlink" Target="https://www.minenergia.gov.co/documents/10180/23517/48939-40141.pdf" TargetMode="External"/><Relationship Id="rId28" Type="http://schemas.openxmlformats.org/officeDocument/2006/relationships/hyperlink" Target="http://www.lse.ac.uk/GranthamInstitute/wp-content/uploads/laws/1110.pdf" TargetMode="External"/><Relationship Id="rId27" Type="http://schemas.openxmlformats.org/officeDocument/2006/relationships/hyperlink" Target="https://climate-laws.org/rails/active_storage/blobs/eyJfcmFpbHMiOnsibWVzc2FnZSI6IkJBaHBBbjBLIiwiZXhwIjpudWxsLCJwdXIiOiJibG9iX2lkIn19--933d51aa4168ef9a0786ac14a0ff5bb63c7a4595/1109btranslation.pdf" TargetMode="External"/><Relationship Id="rId125" Type="http://schemas.openxmlformats.org/officeDocument/2006/relationships/hyperlink" Target="https://www.funcionpublica.gov.co/eva/gestornormativo/norma.php?i=39179" TargetMode="External"/><Relationship Id="rId29" Type="http://schemas.openxmlformats.org/officeDocument/2006/relationships/hyperlink" Target="https://climate-laws.org/rails/active_storage/blobs/eyJfcmFpbHMiOnsibWVzc2FnZSI6IkJBaHBBbjRLIiwiZXhwIjpudWxsLCJwdXIiOiJibG9iX2lkIn19--fd01878cf290d7cb2c51d845f8bf1c7667a402cb/1110translation.pdf" TargetMode="External"/><Relationship Id="rId124" Type="http://schemas.openxmlformats.org/officeDocument/2006/relationships/hyperlink" Target="https://www.funcionpublica.gov.co/eva/gestornormativo/norma.php?i=39179" TargetMode="External"/><Relationship Id="rId123" Type="http://schemas.openxmlformats.org/officeDocument/2006/relationships/hyperlink" Target="https://www.funcionpublica.gov.co/eva/gestornormativo/norma.php?i=20869" TargetMode="External"/><Relationship Id="rId122" Type="http://schemas.openxmlformats.org/officeDocument/2006/relationships/hyperlink" Target="https://www.funcionpublica.gov.co/eva/gestornormativo/norma.php?i=20869%7Ces" TargetMode="External"/><Relationship Id="rId95" Type="http://schemas.openxmlformats.org/officeDocument/2006/relationships/hyperlink" Target="https://www.ndrc.gov.cn/xxgk/zcfb/tz/202201/t20220121_1312524.html?code=&amp;state=123%7Czh" TargetMode="External"/><Relationship Id="rId94" Type="http://schemas.openxmlformats.org/officeDocument/2006/relationships/hyperlink" Target="http://www.lawinfochina.com/display.aspx?id=29714&amp;lib=law" TargetMode="External"/><Relationship Id="rId97" Type="http://schemas.openxmlformats.org/officeDocument/2006/relationships/hyperlink" Target="https://www.ndrc.gov.cn/xxgk/zcfb/tz/202201/P020220121303032255690.pdf" TargetMode="External"/><Relationship Id="rId96" Type="http://schemas.openxmlformats.org/officeDocument/2006/relationships/hyperlink" Target="https://www.ndrc.gov.cn/xxgk/zcfb/tz/202201/t20220121_1312524.html?code=&amp;state=123" TargetMode="External"/><Relationship Id="rId11" Type="http://schemas.openxmlformats.org/officeDocument/2006/relationships/hyperlink" Target="https://pesquisa.in.gov.br/imprensa/jsp/visualiza/index.jsp?jornal=1&amp;pagina=90&amp;data=03/12/2015%7Cpt" TargetMode="External"/><Relationship Id="rId99" Type="http://schemas.openxmlformats.org/officeDocument/2006/relationships/hyperlink" Target="http://www.gov.cn/xinwen/2022-03/11/content_5678443.htm" TargetMode="External"/><Relationship Id="rId10" Type="http://schemas.openxmlformats.org/officeDocument/2006/relationships/hyperlink" Target="https://cetesb.sp.gov.br/proclima/wp-content/uploads/sites/36/2018/01/portaria_interministerial_mct_356.pdf" TargetMode="External"/><Relationship Id="rId98" Type="http://schemas.openxmlformats.org/officeDocument/2006/relationships/hyperlink" Target="http://www.gov.cn/xinwen/2022-03/13/content_5678833.htm" TargetMode="External"/><Relationship Id="rId13" Type="http://schemas.openxmlformats.org/officeDocument/2006/relationships/hyperlink" Target="http://redd.mma.gov.br/images/publicacoes/enredd_documento_web.pdf" TargetMode="External"/><Relationship Id="rId12" Type="http://schemas.openxmlformats.org/officeDocument/2006/relationships/hyperlink" Target="https://pesquisa.in.gov.br/imprensa/jsp/visualiza/index.jsp?jornal=1&amp;pagina=90&amp;data=03/12/2015" TargetMode="External"/><Relationship Id="rId91" Type="http://schemas.openxmlformats.org/officeDocument/2006/relationships/hyperlink" Target="https://climate-laws.org/rails/active_storage/blobs/eyJfcmFpbHMiOnsibWVzc2FnZSI6IkJBaHBBb2tPIiwiZXhwIjpudWxsLCJwdXIiOiJibG9iX2lkIn19--fd46d4069047e7b34fbfce8db1823e2d6243cd4f/fulltext.docx" TargetMode="External"/><Relationship Id="rId90" Type="http://schemas.openxmlformats.org/officeDocument/2006/relationships/hyperlink" Target="https://en.ndrc.gov.cn/policies/202110/t20211027_1301020.html" TargetMode="External"/><Relationship Id="rId93" Type="http://schemas.openxmlformats.org/officeDocument/2006/relationships/hyperlink" Target="http://www.lawinfochina.com/display.aspx?id=29714&amp;lib=law%7Czh" TargetMode="External"/><Relationship Id="rId92" Type="http://schemas.openxmlformats.org/officeDocument/2006/relationships/hyperlink" Target="http://www.npc.gov.cn/zgrdw/englishnpc/Law/2007-12/12/content_1383731.htm" TargetMode="External"/><Relationship Id="rId118" Type="http://schemas.openxmlformats.org/officeDocument/2006/relationships/hyperlink" Target="https://e2050colombia.com/" TargetMode="External"/><Relationship Id="rId117" Type="http://schemas.openxmlformats.org/officeDocument/2006/relationships/hyperlink" Target="https://cambioclimatico.mma.gob.cl/wp-content/uploads/2020/05/20200518_Estrategia-Clim%C3%A1tica-Largo-Plazo-2050_COLOMBIA.pdf" TargetMode="External"/><Relationship Id="rId116" Type="http://schemas.openxmlformats.org/officeDocument/2006/relationships/hyperlink" Target="http://www.lse.ac.uk/GranthamInstitute/wp-content/uploads/2019/08/Dec_308_2016.pdf" TargetMode="External"/><Relationship Id="rId115" Type="http://schemas.openxmlformats.org/officeDocument/2006/relationships/hyperlink" Target="https://climate-laws.org/rails/active_storage/blobs/eyJfcmFpbHMiOnsibWVzc2FnZSI6IkJBaHBBak1LIiwiZXhwIjpudWxsLCJwdXIiOiJibG9iX2lkIn19--a997062a4b09d825adf81d7d6ff6720c5df7ca9e/DECRETO%20308%20DEL%2024%20DE%20FEBRERO%20DE%202016.pdf" TargetMode="External"/><Relationship Id="rId119" Type="http://schemas.openxmlformats.org/officeDocument/2006/relationships/hyperlink" Target="https://www.minenergia.gov.co/documents/10180/23517/48155-res.+4+0590+del+9-7-20192019-07-09-120048+%281%29.pdf" TargetMode="External"/><Relationship Id="rId15" Type="http://schemas.openxmlformats.org/officeDocument/2006/relationships/hyperlink" Target="http://climatechange.gov.bn/Theme/Index.aspx" TargetMode="External"/><Relationship Id="rId110" Type="http://schemas.openxmlformats.org/officeDocument/2006/relationships/hyperlink" Target="https://climate-laws.org/rails/active_storage/blobs/eyJfcmFpbHMiOnsibWVzc2FnZSI6IkJBaHBBcVFIIiwiZXhwIjpudWxsLCJwdXIiOiJibG9iX2lkIn19--87e4f4994feb7330874ff8aabac35bee87f23a00/f" TargetMode="External"/><Relationship Id="rId14" Type="http://schemas.openxmlformats.org/officeDocument/2006/relationships/hyperlink" Target="http://climatechange.gov.bn/Theme/Index.aspx" TargetMode="External"/><Relationship Id="rId17" Type="http://schemas.openxmlformats.org/officeDocument/2006/relationships/hyperlink" Target="https://climate-laws.org/rails/active_storage/blobs/eyJfcmFpbHMiOnsibWVzc2FnZSI6IkJBaHBBbmdLIiwiZXhwIjpudWxsLCJwdXIiOiJibG9iX2lkIn19--74e282cbe198753c6e1758ba51228d5ded8aee42/1101ENtranslation.pdf" TargetMode="External"/><Relationship Id="rId16" Type="http://schemas.openxmlformats.org/officeDocument/2006/relationships/hyperlink" Target="http://www.lse.ac.uk/GranthamInstitute/wp-content/uploads/laws/1101.pdf" TargetMode="External"/><Relationship Id="rId19" Type="http://schemas.openxmlformats.org/officeDocument/2006/relationships/hyperlink" Target="https://climate-laws.org/rails/active_storage/blobs/eyJfcmFpbHMiOnsibWVzc2FnZSI6IkJBaHBBbmtLIiwiZXhwIjpudWxsLCJwdXIiOiJibG9iX2lkIn19--dfa4906501114a50b093e7d2a7b892c7c879b79e/1102translation.pdf" TargetMode="External"/><Relationship Id="rId114" Type="http://schemas.openxmlformats.org/officeDocument/2006/relationships/hyperlink" Target="https://climate-laws.org/rails/active_storage/blobs/eyJfcmFpbHMiOnsibWVzc2FnZSI6IkJBaHBBak1LIiwiZXhwIjpudWxsLCJwdXIiOiJibG9iX2lkIn19--a997062a4b09d825adf81d7d6ff6720c5df7ca9e/DECRETO%20308%20DEL%2024%20DE%20FEBRERO%20DE%202016.pdf" TargetMode="External"/><Relationship Id="rId18" Type="http://schemas.openxmlformats.org/officeDocument/2006/relationships/hyperlink" Target="http://www.lse.ac.uk/GranthamInstitute/wp-content/uploads/laws/1102.pdf" TargetMode="External"/><Relationship Id="rId113" Type="http://schemas.openxmlformats.org/officeDocument/2006/relationships/hyperlink" Target="http://www.suin-juriscol.gov.co/viewDocument.asp?ruta=Decretos/30022853" TargetMode="External"/><Relationship Id="rId112" Type="http://schemas.openxmlformats.org/officeDocument/2006/relationships/hyperlink" Target="https://climate-laws.org/rails/active_storage/blobs/eyJfcmFpbHMiOnsibWVzc2FnZSI6IkJBaHBBdGtMIiwiZXhwIjpudWxsLCJwdXIiOiJibG9iX2lkIn19--1d54709131241722b759740612931990c8edee1a/Ley-1819-29-dic-16-Reforma-Tributaria-Diario-Oficial-50101.pdf" TargetMode="External"/><Relationship Id="rId111" Type="http://schemas.openxmlformats.org/officeDocument/2006/relationships/hyperlink" Target="https://climate-laws.org/rails/active_storage/blobs/eyJfcmFpbHMiOnsibWVzc2FnZSI6IkJBaHBBdGtMIiwiZXhwIjpudWxsLCJwdXIiOiJibG9iX2lkIn19--1d54709131241722b759740612931990c8edee1a/Ley-1819-29-dic-16-Reforma-Tributaria-Diario-Oficial-50101.pdf" TargetMode="External"/><Relationship Id="rId84" Type="http://schemas.openxmlformats.org/officeDocument/2006/relationships/hyperlink" Target="https://climate-laws.org/rails/active_storage/blobs/eyJfcmFpbHMiOnsibWVzc2FnZSI6IkJBaHBBaEFPIiwiZXhwIjpudWxsLCJwdXIiOiJibG9iX2lkIn19--25e625bb83015cd75273d89730f349aa695ea5f9/t0284_14th_Five_Year_Plan_EN.pdf" TargetMode="External"/><Relationship Id="rId83" Type="http://schemas.openxmlformats.org/officeDocument/2006/relationships/hyperlink" Target="http://www.gov.cn/xinwen/2021-03/13/content_5592681.htm" TargetMode="External"/><Relationship Id="rId86" Type="http://schemas.openxmlformats.org/officeDocument/2006/relationships/hyperlink" Target="http://www.gov.cn/zhengce/zhengceku/2020-04/23/5505502/files/f5fc2592b25e4ff3a5ba01770dd5842e.pdf" TargetMode="External"/><Relationship Id="rId85" Type="http://schemas.openxmlformats.org/officeDocument/2006/relationships/hyperlink" Target="http://english.www.gov.cn/policies/latestreleases/202011/02/content_WS5f9ff225c6d0f7257693ece2.html" TargetMode="External"/><Relationship Id="rId88" Type="http://schemas.openxmlformats.org/officeDocument/2006/relationships/hyperlink" Target="https://www.ndrc.gov.cn/xxgk/zcfb/ghxwj/202105/t20210518_1280099.html" TargetMode="External"/><Relationship Id="rId87" Type="http://schemas.openxmlformats.org/officeDocument/2006/relationships/hyperlink" Target="http://www.gov.cn/zhengce/zhengceku/2020-04/23/content_5505502.htm" TargetMode="External"/><Relationship Id="rId89" Type="http://schemas.openxmlformats.org/officeDocument/2006/relationships/hyperlink" Target="https://www.ndrc.gov.cn/xxgk/zcfb/ghxwj/202105/P020210518546042625573.pdf" TargetMode="External"/><Relationship Id="rId80" Type="http://schemas.openxmlformats.org/officeDocument/2006/relationships/hyperlink" Target="http://www.mee.gov.cn/ywdt/hjywnews/202202/t20220218_969440.shtml" TargetMode="External"/><Relationship Id="rId82" Type="http://schemas.openxmlformats.org/officeDocument/2006/relationships/hyperlink" Target="http://zfxxgk.nea.gov.cn/2021-05/11/c_139958210.htm" TargetMode="External"/><Relationship Id="rId81" Type="http://schemas.openxmlformats.org/officeDocument/2006/relationships/hyperlink" Target="https://climate-laws.org/rails/active_storage/blobs/eyJfcmFpbHMiOnsibWVzc2FnZSI6IkJBaHBBdUVKIiwiZXhwIjpudWxsLCJwdXIiOiJibG9iX2lkIn19--e01afcd0906a009f99060c7a25b26a83bad1bb12/f" TargetMode="External"/><Relationship Id="rId1" Type="http://schemas.openxmlformats.org/officeDocument/2006/relationships/hyperlink" Target="https://www.in.gov.br/en/web/dou/-/decreto-n-10.431-de-20-de-julho-de-2020-267731155" TargetMode="External"/><Relationship Id="rId2" Type="http://schemas.openxmlformats.org/officeDocument/2006/relationships/hyperlink" Target="https://www.bcb.gov.br/pre/normativos/busca/downloadNormativo.asp?arquivo=/Lists/Normativos/Attachments/49552/Res_3896_v1_O.pdf%7Cpt" TargetMode="External"/><Relationship Id="rId3" Type="http://schemas.openxmlformats.org/officeDocument/2006/relationships/hyperlink" Target="https://www.bcb.gov.br/pre/normativos/busca/downloadNormativo.asp?arquivo=/Lists/Normativos/Attachments/49552/Res_3896_v1_O.pdf" TargetMode="External"/><Relationship Id="rId4" Type="http://schemas.openxmlformats.org/officeDocument/2006/relationships/hyperlink" Target="https://diariofiscal.com.br/ZpNbw3dk20XgIKXVGacL5NS8haIoH5PqbJKZaawfaDwCm/legislacaofederal/portaria/2013/mapa-mda.984.htm" TargetMode="External"/><Relationship Id="rId9" Type="http://schemas.openxmlformats.org/officeDocument/2006/relationships/hyperlink" Target="https://www.in.gov.br/web/dou/-/resolucao-n-791-de-12-de-junho-de-2019-163598743" TargetMode="External"/><Relationship Id="rId5" Type="http://schemas.openxmlformats.org/officeDocument/2006/relationships/hyperlink" Target="https://diariofiscal.com.br/ZpNbw3dk20XgIKXVGacL5NS8haIoH5PqbJKZaawfaDwCm/legislacaofederal/portaria/2013/mapa-mda.984.htm" TargetMode="External"/><Relationship Id="rId6" Type="http://schemas.openxmlformats.org/officeDocument/2006/relationships/hyperlink" Target="https://antigo.mctic.gov.br/mctic/opencms/legislacao/portarias/migracao/Portaria_MAPA_n_230_de_21102015.html" TargetMode="External"/><Relationship Id="rId7" Type="http://schemas.openxmlformats.org/officeDocument/2006/relationships/hyperlink" Target="http://www.planalto.gov.br/ccivil_03/_ato2019-2022/2019/decreto/D9888.htm" TargetMode="External"/><Relationship Id="rId8" Type="http://schemas.openxmlformats.org/officeDocument/2006/relationships/hyperlink" Target="http://www.planalto.gov.br/ccivil_03/_ato2019-2022/2019/decreto/D9888.htm" TargetMode="External"/><Relationship Id="rId73" Type="http://schemas.openxmlformats.org/officeDocument/2006/relationships/hyperlink" Target="https://climate-laws.org/rails/active_storage/blobs/eyJfcmFpbHMiOnsibWVzc2FnZSI6IkJBaHBBb3dLIiwiZXhwIjpudWxsLCJwdXIiOiJibG9iX2lkIn19--4e1e2b722426be5cefd58b9007093c39af803acf/1307%20-%20regulation.pdf" TargetMode="External"/><Relationship Id="rId72" Type="http://schemas.openxmlformats.org/officeDocument/2006/relationships/hyperlink" Target="https://climate-laws.org/rails/active_storage/blobs/eyJfcmFpbHMiOnsibWVzc2FnZSI6IkJBaHBBdWNKIiwiZXhwIjpudWxsLCJwdXIiOiJibG9iX2lkIn19--354e032cb509d4435fbcc22dab7f60fada48fae0/f" TargetMode="External"/><Relationship Id="rId75" Type="http://schemas.openxmlformats.org/officeDocument/2006/relationships/hyperlink" Target="https://www.leychile.cl/Navegar?idNorma=1142667%7Ces" TargetMode="External"/><Relationship Id="rId74" Type="http://schemas.openxmlformats.org/officeDocument/2006/relationships/hyperlink" Target="https://climate-laws.org/rails/active_storage/blobs/eyJfcmFpbHMiOnsibWVzc2FnZSI6IkJBaHBBaTBHIiwiZXhwIjpudWxsLCJwdXIiOiJibG9iX2lkIn19--9f5b4737d19220ab217631ece67e086398d3df3e/f" TargetMode="External"/><Relationship Id="rId77" Type="http://schemas.openxmlformats.org/officeDocument/2006/relationships/hyperlink" Target="https://climate-laws.org/rails/active_storage/blobs/eyJfcmFpbHMiOnsibWVzc2FnZSI6IkJBaHBBamdGIiwiZXhwIjpudWxsLCJwdXIiOiJibG9iX2lkIn19--ca23b2684f0cd122ce943b8cfd20614c818208b3/f" TargetMode="External"/><Relationship Id="rId76" Type="http://schemas.openxmlformats.org/officeDocument/2006/relationships/hyperlink" Target="https://www.leychile.cl/Navegar?idNorma=1142667" TargetMode="External"/><Relationship Id="rId79" Type="http://schemas.openxmlformats.org/officeDocument/2006/relationships/hyperlink" Target="https://climate-laws.org/rails/active_storage/blobs/eyJfcmFpbHMiOnsibWVzc2FnZSI6IkJBaHBBdXNKIiwiZXhwIjpudWxsLCJwdXIiOiJibG9iX2lkIn19--0247f14fe7ec67e14b10dce599bfff3764e95a4c/f" TargetMode="External"/><Relationship Id="rId78" Type="http://schemas.openxmlformats.org/officeDocument/2006/relationships/hyperlink" Target="http://www.retc.cl/se-publica-en-diario-oficial-la-modificacion-del-reglamento-retc/" TargetMode="External"/><Relationship Id="rId71" Type="http://schemas.openxmlformats.org/officeDocument/2006/relationships/hyperlink" Target="https://climate-laws.org/rails/active_storage/blobs/eyJfcmFpbHMiOnsibWVzc2FnZSI6IkJBaHBBa1lHIiwiZXhwIjpudWxsLCJwdXIiOiJibG9iX2lkIn19--25e3b67df77e7af68c962c122a3e7c86243b40bc/f" TargetMode="External"/><Relationship Id="rId70" Type="http://schemas.openxmlformats.org/officeDocument/2006/relationships/hyperlink" Target="https://climate-laws.org/rails/active_storage/blobs/eyJfcmFpbHMiOnsibWVzc2FnZSI6IkJBaHBBa1VHIiwiZXhwIjpudWxsLCJwdXIiOiJibG9iX2lkIn19--b9f33e17aae6e1fc081bc37db23a00aad7e540ef/f" TargetMode="External"/><Relationship Id="rId130" Type="http://schemas.openxmlformats.org/officeDocument/2006/relationships/drawing" Target="../drawings/drawing3.xml"/><Relationship Id="rId62" Type="http://schemas.openxmlformats.org/officeDocument/2006/relationships/hyperlink" Target="https://laws-lois.justice.gc.ca/eng/Regulations/SOR-2012-69/page-20.html" TargetMode="External"/><Relationship Id="rId61" Type="http://schemas.openxmlformats.org/officeDocument/2006/relationships/hyperlink" Target="https://laws-lois.justice.gc.ca/PDF/SOR-2012-69.pdf" TargetMode="External"/><Relationship Id="rId64" Type="http://schemas.openxmlformats.org/officeDocument/2006/relationships/hyperlink" Target="https://www.canada.ca/en/services/environment/conservation/assessments/strategic-assessments/climate-change.html" TargetMode="External"/><Relationship Id="rId63" Type="http://schemas.openxmlformats.org/officeDocument/2006/relationships/hyperlink" Target="https://laws-lois.justice.gc.ca/eng/Regulations/SOR-2012-69/page-20.html" TargetMode="External"/><Relationship Id="rId66" Type="http://schemas.openxmlformats.org/officeDocument/2006/relationships/hyperlink" Target="https://laws.justice.gc.ca/PDF/I-2.75.pdf" TargetMode="External"/><Relationship Id="rId65" Type="http://schemas.openxmlformats.org/officeDocument/2006/relationships/hyperlink" Target="https://www.canada.ca/en/services/environment/conservation/assessments/strategic-assessments/climate-change.html" TargetMode="External"/><Relationship Id="rId68" Type="http://schemas.openxmlformats.org/officeDocument/2006/relationships/hyperlink" Target="https://www.canada.ca/content/dam/eccc/documents/pdf/climate-change/erp/Canada-2030-Emissions-Reduction-Plan-eng.pdf" TargetMode="External"/><Relationship Id="rId67" Type="http://schemas.openxmlformats.org/officeDocument/2006/relationships/hyperlink" Target="https://www.canada.ca/en/environment-climate-change/services/managing-pollution/energy-production/electricity-generation/statement-government-canada-thermal-coal-mining.html" TargetMode="External"/><Relationship Id="rId60" Type="http://schemas.openxmlformats.org/officeDocument/2006/relationships/hyperlink" Target="https://laws-lois.justice.gc.ca/PDF/SOR-2017-121.pdf" TargetMode="External"/><Relationship Id="rId69" Type="http://schemas.openxmlformats.org/officeDocument/2006/relationships/hyperlink" Target="https://www.canada.ca/en/environment-climate-change/news/2022/03/2030-emissions-reduction-plan--canadas-next-steps-for-clean-air-and-a-strong-economy.html" TargetMode="External"/><Relationship Id="rId51" Type="http://schemas.openxmlformats.org/officeDocument/2006/relationships/hyperlink" Target="https://laws-lois.justice.gc.ca/eng/regulations/SOR-2018-261/index.html" TargetMode="External"/><Relationship Id="rId50" Type="http://schemas.openxmlformats.org/officeDocument/2006/relationships/hyperlink" Target="https://www.canada.ca/en/environment-climate-change/services/climate-change/greenhouse-gas-emissions/facility-reporting/about.html" TargetMode="External"/><Relationship Id="rId53" Type="http://schemas.openxmlformats.org/officeDocument/2006/relationships/hyperlink" Target="https://laws-lois.justice.gc.ca/eng/regulations/SOR-2018-66/index.html" TargetMode="External"/><Relationship Id="rId52" Type="http://schemas.openxmlformats.org/officeDocument/2006/relationships/hyperlink" Target="https://laws-lois.justice.gc.ca/PDF/SOR-2018-261.pdf" TargetMode="External"/><Relationship Id="rId55" Type="http://schemas.openxmlformats.org/officeDocument/2006/relationships/hyperlink" Target="https://laws-lois.justice.gc.ca/eng/regulations/SOR-2018-12187/index.html" TargetMode="External"/><Relationship Id="rId54" Type="http://schemas.openxmlformats.org/officeDocument/2006/relationships/hyperlink" Target="https://laws-lois.justice.gc.ca/PDF/SOR-2018-66.pdf" TargetMode="External"/><Relationship Id="rId57" Type="http://schemas.openxmlformats.org/officeDocument/2006/relationships/hyperlink" Target="https://laws-lois.justice.gc.ca/eng/regulations/SOR-2019-266/index.html" TargetMode="External"/><Relationship Id="rId56" Type="http://schemas.openxmlformats.org/officeDocument/2006/relationships/hyperlink" Target="http://www.gazette.gc.ca/rp-pr/p2/2019/2019-07-10/html/sor-dors265-eng.html" TargetMode="External"/><Relationship Id="rId59" Type="http://schemas.openxmlformats.org/officeDocument/2006/relationships/hyperlink" Target="https://laws-lois.justice.gc.ca/eng/regulations/SOR-2017-121/index.html" TargetMode="External"/><Relationship Id="rId58" Type="http://schemas.openxmlformats.org/officeDocument/2006/relationships/hyperlink" Target="https://laws-lois.justice.gc.ca/PDF/SOR-2019-266.pdf"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www.economie.gouv.fr/files/files/directions_services/plan-de-relance/PNRR%20Francais.pdf" TargetMode="External"/><Relationship Id="rId42" Type="http://schemas.openxmlformats.org/officeDocument/2006/relationships/hyperlink" Target="https://www.matsne.gov.ge/ka/document/view/4780380?publication=0%7Cka" TargetMode="External"/><Relationship Id="rId41" Type="http://schemas.openxmlformats.org/officeDocument/2006/relationships/hyperlink" Target="https://ec.europa.eu/info/sites/default/files/france-recovery-resilience-factsheet_en.pdf" TargetMode="External"/><Relationship Id="rId44" Type="http://schemas.openxmlformats.org/officeDocument/2006/relationships/hyperlink" Target="https://www.matsne.gov.ge/ka/document/view/5167071?publication=0%7Cka" TargetMode="External"/><Relationship Id="rId43" Type="http://schemas.openxmlformats.org/officeDocument/2006/relationships/hyperlink" Target="https://www.matsne.gov.ge/ka/document/view/4780380?publication=0" TargetMode="External"/><Relationship Id="rId46" Type="http://schemas.openxmlformats.org/officeDocument/2006/relationships/hyperlink" Target="http://www.eiec.gov.ge/getattachment/30bb3f45-7d2e-442d-8b47-26bd650e72db/CSAP-01-12-2020.pdf.aspx" TargetMode="External"/><Relationship Id="rId45" Type="http://schemas.openxmlformats.org/officeDocument/2006/relationships/hyperlink" Target="https://www.matsne.gov.ge/ka/document/view/5167071?publication=0" TargetMode="External"/><Relationship Id="rId107" Type="http://schemas.openxmlformats.org/officeDocument/2006/relationships/hyperlink" Target="https://climate-laws.org/rails/active_storage/blobs/eyJfcmFpbHMiOnsibWVzc2FnZSI6IkJBaHBBdTRKIiwiZXhwIjpudWxsLCJwdXIiOiJibG9iX2lkIn19--39e20e483e1c1b65efbcf5a14250040757318af3/f" TargetMode="External"/><Relationship Id="rId106" Type="http://schemas.openxmlformats.org/officeDocument/2006/relationships/hyperlink" Target="https://climate-laws.org/rails/active_storage/blobs/eyJfcmFpbHMiOnsibWVzc2FnZSI6IkJBaHBBdTBKIiwiZXhwIjpudWxsLCJwdXIiOiJibG9iX2lkIn19--1a14fd6d21b5b77653924080e3d6035d789947df/f" TargetMode="External"/><Relationship Id="rId105" Type="http://schemas.openxmlformats.org/officeDocument/2006/relationships/hyperlink" Target="http://extwprlegs1.fao.org/docs/pdf/hon121723.pdf" TargetMode="External"/><Relationship Id="rId104" Type="http://schemas.openxmlformats.org/officeDocument/2006/relationships/hyperlink" Target="https://sgpr.gob.hn/SGPR.Admin2019/Content/Uploads/repositorio/637342182811751490-22.%20Pol%C3%ADtica%20Forestal%20AP%20y%20Vida%20Silvestre.pdf" TargetMode="External"/><Relationship Id="rId109" Type="http://schemas.openxmlformats.org/officeDocument/2006/relationships/hyperlink" Target="https://ec.europa.eu/energy/sites/ener/files/documents/hu_final_necp_main_hu.pdf" TargetMode="External"/><Relationship Id="rId108" Type="http://schemas.openxmlformats.org/officeDocument/2006/relationships/hyperlink" Target="https://ec.europa.eu/energy/sites/ener/files/documents/hu_final_necp_main_en.pdf" TargetMode="External"/><Relationship Id="rId48" Type="http://schemas.openxmlformats.org/officeDocument/2006/relationships/hyperlink" Target="https://matsne.gov.ge/en/document/view/4737753?publication=1%7Cen" TargetMode="External"/><Relationship Id="rId47" Type="http://schemas.openxmlformats.org/officeDocument/2006/relationships/hyperlink" Target="https://climate-laws.org/rails/active_storage/blobs/eyJfcmFpbHMiOnsibWVzc2FnZSI6IkJBaHBBcTBPIiwiZXhwIjpudWxsLCJwdXIiOiJibG9iX2lkIn19--7760465d29a8f14cbe7d083eb4ec73668167b477/2021-2023%20Climate%20Action%20Plan_ENG.docx" TargetMode="External"/><Relationship Id="rId49" Type="http://schemas.openxmlformats.org/officeDocument/2006/relationships/hyperlink" Target="https://matsne.gov.ge/en/document/view/4737753?publication=1" TargetMode="External"/><Relationship Id="rId103" Type="http://schemas.openxmlformats.org/officeDocument/2006/relationships/hyperlink" Target="https://observatoriop10.cepal.org/sites/default/files/documents/hn_-_ley_del_cambio_climatico_y_otros_decretos.pdf" TargetMode="External"/><Relationship Id="rId102" Type="http://schemas.openxmlformats.org/officeDocument/2006/relationships/hyperlink" Target="https://climate-laws.org/rails/active_storage/blobs/eyJfcmFpbHMiOnsibWVzc2FnZSI6IkJBaHBBb0VJIiwiZXhwIjpudWxsLCJwdXIiOiJibG9iX2lkIn19--95b9db402c29bb6b5a71a3cbf59ce59a5bf0dfe0/f" TargetMode="External"/><Relationship Id="rId101" Type="http://schemas.openxmlformats.org/officeDocument/2006/relationships/hyperlink" Target="https://pndesguinee.org" TargetMode="External"/><Relationship Id="rId100" Type="http://schemas.openxmlformats.org/officeDocument/2006/relationships/hyperlink" Target="https://pndesguinee.org/images/documents/pndes/PNDES%20Volume%201.pdf" TargetMode="External"/><Relationship Id="rId31" Type="http://schemas.openxmlformats.org/officeDocument/2006/relationships/hyperlink" Target="https://www.legifrance.gouv.fr/affichTexte.do?cidTexte=JORFTEXT000042184845%7Cfr" TargetMode="External"/><Relationship Id="rId30" Type="http://schemas.openxmlformats.org/officeDocument/2006/relationships/hyperlink" Target="https://www.legifrance.gouv.fr/loda/id/JORFTEXT000043852172" TargetMode="External"/><Relationship Id="rId33" Type="http://schemas.openxmlformats.org/officeDocument/2006/relationships/hyperlink" Target="https://www.legifrance.gouv.fr/affichTexte.do?cidTexte=JORFTEXT000041938774%7Cfr" TargetMode="External"/><Relationship Id="rId32" Type="http://schemas.openxmlformats.org/officeDocument/2006/relationships/hyperlink" Target="https://www.legifrance.gouv.fr/affichTexte.do?cidTexte=JORFTEXT000042184845" TargetMode="External"/><Relationship Id="rId35" Type="http://schemas.openxmlformats.org/officeDocument/2006/relationships/hyperlink" Target="https://www.legifrance.gouv.fr/affichTexte.do?cidTexte=JORFTEXT000036340821%7Cfr" TargetMode="External"/><Relationship Id="rId34" Type="http://schemas.openxmlformats.org/officeDocument/2006/relationships/hyperlink" Target="https://www.legifrance.gouv.fr/affichTexte.do?cidTexte=JORFTEXT000041938774" TargetMode="External"/><Relationship Id="rId37" Type="http://schemas.openxmlformats.org/officeDocument/2006/relationships/hyperlink" Target="https://ec.europa.eu/info/business-economy-euro/recovery-coronavirus/recovery-and-resilience-facility/frances-recovery-and-resilience-plan_en" TargetMode="External"/><Relationship Id="rId36" Type="http://schemas.openxmlformats.org/officeDocument/2006/relationships/hyperlink" Target="https://www.legifrance.gouv.fr/affichTexte.do?cidTexte=JORFTEXT000036340821" TargetMode="External"/><Relationship Id="rId39" Type="http://schemas.openxmlformats.org/officeDocument/2006/relationships/hyperlink" Target="https://www.consilium.europa.eu/en/documents-publications/public-register/public-register-search/results/?WordsInSubject=&amp;WordsInText=&amp;DocumentNumber=10162%2F21&amp;InterinstitutionalFiles=&amp;DocumentDateFrom=&amp;DocumentDateTo=&amp;MeetingDateFrom=&amp;MeetingDateTo=&amp;DocumentLanguage=EN&amp;OrderBy=DOCUMENT_DATE+DESC&amp;ctl00%24ctl00%24cpMain%24cpMain%24btnSubmit=" TargetMode="External"/><Relationship Id="rId38" Type="http://schemas.openxmlformats.org/officeDocument/2006/relationships/hyperlink" Target="https://www.consilium.europa.eu/en/documents-publications/public-register/public-register-search/results/?WordsInSubject=&amp;WordsInText=&amp;DocumentNumber=10162%2F21&amp;InterinstitutionalFiles=&amp;DocumentDateFrom=&amp;DocumentDateTo=&amp;MeetingDateFrom=&amp;MeetingDateTo=&amp;DocumentLanguage=EN&amp;OrderBy=DOCUMENT_DATE+DESC&amp;ctl00%24ctl00%24cpMain%24cpMain%24btnSubmit=%7Cen" TargetMode="External"/><Relationship Id="rId20" Type="http://schemas.openxmlformats.org/officeDocument/2006/relationships/hyperlink" Target="https://www.legifrance.gouv.fr/loda/id/JORFTEXT000000317293/2020-11-02/" TargetMode="External"/><Relationship Id="rId22" Type="http://schemas.openxmlformats.org/officeDocument/2006/relationships/hyperlink" Target="https://www.ecologie.gouv.fr/strategie-nationale-transition-ecologique-vers-developpement-durable-2015-2020" TargetMode="External"/><Relationship Id="rId21" Type="http://schemas.openxmlformats.org/officeDocument/2006/relationships/hyperlink" Target="https://www.legifrance.gouv.fr/loda/id/LEGIARTI000033725056/2016-12-30/" TargetMode="External"/><Relationship Id="rId24" Type="http://schemas.openxmlformats.org/officeDocument/2006/relationships/hyperlink" Target="https://www.legifrance.gouv.fr/jorf/id/JORFSCTA000032303780" TargetMode="External"/><Relationship Id="rId23" Type="http://schemas.openxmlformats.org/officeDocument/2006/relationships/hyperlink" Target="https://climate-laws.org/rails/active_storage/blobs/eyJfcmFpbHMiOnsibWVzc2FnZSI6IkJBaHBBbkVPIiwiZXhwIjpudWxsLCJwdXIiOiJibG9iX2lkIn19--adb09778391a847731778684b36250eb13a0662d/SNTEDD%20-%20La%20strat%C3%A9gie.pdf" TargetMode="External"/><Relationship Id="rId129" Type="http://schemas.openxmlformats.org/officeDocument/2006/relationships/hyperlink" Target="https://climate-laws.org/rails/active_storage/blobs/eyJfcmFpbHMiOnsibWVzc2FnZSI6IkJBaHBBdFVKIiwiZXhwIjpudWxsLCJwdXIiOiJibG9iX2lkIn19--9e9ac4e9a5ab2c5a85644678802e455c8eb936d9/f" TargetMode="External"/><Relationship Id="rId128" Type="http://schemas.openxmlformats.org/officeDocument/2006/relationships/hyperlink" Target="https://climate-laws.org/rails/active_storage/blobs/eyJfcmFpbHMiOnsibWVzc2FnZSI6IkJBaHBBbzRLIiwiZXhwIjpudWxsLCJwdXIiOiJibG9iX2lkIn19--35177521da31ba082e46d65948de14d8df781d59/1323%20-%202016%20amendments.pdf" TargetMode="External"/><Relationship Id="rId127" Type="http://schemas.openxmlformats.org/officeDocument/2006/relationships/hyperlink" Target="https://climate-laws.org/rails/active_storage/blobs/eyJfcmFpbHMiOnsibWVzc2FnZSI6IkJBaHBBdGtKIiwiZXhwIjpudWxsLCJwdXIiOiJibG9iX2lkIn19--7fff36545d15b81c67bdf300bf78cdd08eab8409/f" TargetMode="External"/><Relationship Id="rId126" Type="http://schemas.openxmlformats.org/officeDocument/2006/relationships/hyperlink" Target="https://climate-laws.org/rails/active_storage/blobs/eyJfcmFpbHMiOnsibWVzc2FnZSI6IkJBaHBBdGdKIiwiZXhwIjpudWxsLCJwdXIiOiJibG9iX2lkIn19--d078e2447fda1f2363c715401acf1987858215ff/f" TargetMode="External"/><Relationship Id="rId26" Type="http://schemas.openxmlformats.org/officeDocument/2006/relationships/hyperlink" Target="https://advenir.mobi" TargetMode="External"/><Relationship Id="rId121" Type="http://schemas.openxmlformats.org/officeDocument/2006/relationships/hyperlink" Target="https://climate-laws.org/rails/active_storage/blobs/eyJfcmFpbHMiOnsibWVzc2FnZSI6IkJBaHBBdDBKIiwiZXhwIjpudWxsLCJwdXIiOiJibG9iX2lkIn19--33ad1c7df713d5ab53c00e12fa8251ed61a816cc/f" TargetMode="External"/><Relationship Id="rId25" Type="http://schemas.openxmlformats.org/officeDocument/2006/relationships/hyperlink" Target="https://www.legifrance.gouv.fr/jorf/id/JORFTEXT000044546141" TargetMode="External"/><Relationship Id="rId120" Type="http://schemas.openxmlformats.org/officeDocument/2006/relationships/hyperlink" Target="https://climate-laws.org/rails/active_storage/blobs/eyJfcmFpbHMiOnsibWVzc2FnZSI6IkJBaHBBbFlJIiwiZXhwIjpudWxsLCJwdXIiOiJibG9iX2lkIn19--2ea1ce34862cdd2ecc68b4f4361a94b020e127cf/f" TargetMode="External"/><Relationship Id="rId28" Type="http://schemas.openxmlformats.org/officeDocument/2006/relationships/hyperlink" Target="https://www.legifrance.gouv.fr/codes/section_lc/LEGITEXT000023983208/LEGISCTA000031748203" TargetMode="External"/><Relationship Id="rId27" Type="http://schemas.openxmlformats.org/officeDocument/2006/relationships/hyperlink" Target="https://www.service-public.fr/particuliers/vosdroits/F35475" TargetMode="External"/><Relationship Id="rId125" Type="http://schemas.openxmlformats.org/officeDocument/2006/relationships/hyperlink" Target="https://climate-laws.org/rails/active_storage/blobs/eyJfcmFpbHMiOnsibWVzc2FnZSI6IkJBaHBBbzBLIiwiZXhwIjpudWxsLCJwdXIiOiJibG9iX2lkIn19--cedb279b9cbb57a58aba8864369adb59fca4375e/1322%20-%20new%20policy%20draft%202017.pdf" TargetMode="External"/><Relationship Id="rId29" Type="http://schemas.openxmlformats.org/officeDocument/2006/relationships/hyperlink" Target="https://www.legifrance.gouv.fr/codes/id/LEGISCTA000031748217/" TargetMode="External"/><Relationship Id="rId124" Type="http://schemas.openxmlformats.org/officeDocument/2006/relationships/hyperlink" Target="https://climate-laws.org/rails/active_storage/blobs/eyJfcmFpbHMiOnsibWVzc2FnZSI6IkJBaHBBdHNKIiwiZXhwIjpudWxsLCJwdXIiOiJibG9iX2lkIn19--e92d9d36838a0ca98b2a8246369fdd4da5891145/f" TargetMode="External"/><Relationship Id="rId123" Type="http://schemas.openxmlformats.org/officeDocument/2006/relationships/hyperlink" Target="https://climate-laws.org/rails/active_storage/blobs/eyJfcmFpbHMiOnsibWVzc2FnZSI6IkJBaHBBdDhKIiwiZXhwIjpudWxsLCJwdXIiOiJibG9iX2lkIn19--9389a66215937fdb1845df7396c4635a968a6baf/f" TargetMode="External"/><Relationship Id="rId122" Type="http://schemas.openxmlformats.org/officeDocument/2006/relationships/hyperlink" Target="https://climate-laws.org/rails/active_storage/blobs/eyJfcmFpbHMiOnsibWVzc2FnZSI6IkJBaHBBdDRKIiwiZXhwIjpudWxsLCJwdXIiOiJibG9iX2lkIn19--a2788ca42382ea59ae324bfcd4a7581310baa9cd/f" TargetMode="External"/><Relationship Id="rId95" Type="http://schemas.openxmlformats.org/officeDocument/2006/relationships/hyperlink" Target="https://www.consilium.europa.eu/en/documents-publications/public-register/public-register-search/results/?WordsInSubject=Council+Implementing+Decision+on+the+approval+of+the+assessment+of+the+recovery+and+resilience+plan+of+Greece&amp;WordsInText=&amp;DocumentNumber=&amp;InterinstitutionalFiles=&amp;DocumentDateFrom=&amp;DocumentDateTo=&amp;MeetingDateFrom=&amp;MeetingDateTo=&amp;DocumentLanguage=EN&amp;OrderBy=DOCUMENT_DATE+DESC&amp;ctl00%24ctl00%24cpMain%24cpMain%24btnSubmit=%7Cen" TargetMode="External"/><Relationship Id="rId94" Type="http://schemas.openxmlformats.org/officeDocument/2006/relationships/hyperlink" Target="https://ec.europa.eu/info/business-economy-euro/recovery-coronavirus/recovery-and-resilience-facility/greeces-recovery-and-resilience-plan_en" TargetMode="External"/><Relationship Id="rId97" Type="http://schemas.openxmlformats.org/officeDocument/2006/relationships/hyperlink" Target="https://ec.europa.eu/info/files/factsheet-greeces-recovery-and-resilience-plan_en" TargetMode="External"/><Relationship Id="rId96" Type="http://schemas.openxmlformats.org/officeDocument/2006/relationships/hyperlink" Target="https://www.consilium.europa.eu/en/documents-publications/public-register/public-register-search/results/?WordsInSubject=Council+Implementing+Decision+on+the+approval+of+the+assessment+of+the+recovery+and+resilience+plan+of+Greece&amp;WordsInText=&amp;DocumentNumber=&amp;InterinstitutionalFiles=&amp;DocumentDateFrom=&amp;DocumentDateTo=&amp;MeetingDateFrom=&amp;MeetingDateTo=&amp;DocumentLanguage=EN&amp;OrderBy=DOCUMENT_DATE+DESC&amp;ctl00%24ctl00%24cpMain%24cpMain%24btnSubmit=" TargetMode="External"/><Relationship Id="rId11" Type="http://schemas.openxmlformats.org/officeDocument/2006/relationships/hyperlink" Target="https://www.ecologique-solidaire.gouv.fr/strategie-nationale-bas-carbone-snbc" TargetMode="External"/><Relationship Id="rId99" Type="http://schemas.openxmlformats.org/officeDocument/2006/relationships/hyperlink" Target="https://greece20.gov.gr" TargetMode="External"/><Relationship Id="rId10" Type="http://schemas.openxmlformats.org/officeDocument/2006/relationships/hyperlink" Target="https://climate-laws.org/rails/active_storage/blobs/eyJfcmFpbHMiOnsibWVzc2FnZSI6IkJBaHBBcVVFIiwiZXhwIjpudWxsLCJwdXIiOiJibG9iX2lkIn19--749231cd3161e6e94e9f66409f06108c5c03a3b1/f" TargetMode="External"/><Relationship Id="rId98" Type="http://schemas.openxmlformats.org/officeDocument/2006/relationships/hyperlink" Target="https://ec.europa.eu/info/files/greeces-recovery-and-resilience-plan_en" TargetMode="External"/><Relationship Id="rId13" Type="http://schemas.openxmlformats.org/officeDocument/2006/relationships/hyperlink" Target="https://www.ecologique-solidaire.gouv.fr/sites/default/files/20200526_DP_Automobile.pdf" TargetMode="External"/><Relationship Id="rId12" Type="http://schemas.openxmlformats.org/officeDocument/2006/relationships/hyperlink" Target="https://climate-laws.org/rails/active_storage/blobs/eyJfcmFpbHMiOnsibWVzc2FnZSI6IkJBaHBBandNIiwiZXhwIjpudWxsLCJwdXIiOiJibG9iX2lkIn19--53806fa254eae1af4fc466b2a9a4e38b1d3cc88d/2020-03-25_MTES_SNBC2.pdf" TargetMode="External"/><Relationship Id="rId91" Type="http://schemas.openxmlformats.org/officeDocument/2006/relationships/hyperlink" Target="https://www.hellenicparliament.gr/Nomothetiko-Ergo/Anazitisi-Nomothetikou-Ergou?law_id=2d2016aa-ebb1-43cf-a88b-aba7018724bc" TargetMode="External"/><Relationship Id="rId90" Type="http://schemas.openxmlformats.org/officeDocument/2006/relationships/hyperlink" Target="https://www.hellenicparliament.gr/Nomothetiko-Ergo/Anazitisi-Nomothetikou-Ergou?law_id=2d2016aa-ebb1-43cf-a88b-aba7018724bc%7Cel" TargetMode="External"/><Relationship Id="rId93" Type="http://schemas.openxmlformats.org/officeDocument/2006/relationships/hyperlink" Target="https://ec.europa.eu/energy/sites/ener/files/documents/el_final_necp_main_el.pdf" TargetMode="External"/><Relationship Id="rId92" Type="http://schemas.openxmlformats.org/officeDocument/2006/relationships/hyperlink" Target="https://ec.europa.eu/energy/sites/ener/files/el_final_necp_main_en.pdf" TargetMode="External"/><Relationship Id="rId118" Type="http://schemas.openxmlformats.org/officeDocument/2006/relationships/hyperlink" Target="https://www.government.is/library/01-Ministries/Ministry-for-The-Environment/201004%20Umhverfisraduneytid%20Adgerdaaaetlun%20EN%20V2.pdf" TargetMode="External"/><Relationship Id="rId117" Type="http://schemas.openxmlformats.org/officeDocument/2006/relationships/hyperlink" Target="https://www.government.is/lisalib/getfile.aspx?itemid=5b3c6c45-f326-11e8-942f-005056bc4d74" TargetMode="External"/><Relationship Id="rId116" Type="http://schemas.openxmlformats.org/officeDocument/2006/relationships/hyperlink" Target="https://www.government.is/lisalib/getfile.aspx?itemid=5b3c6c45-f326-11e8-942f-005056bc4d74%7Cen" TargetMode="External"/><Relationship Id="rId115" Type="http://schemas.openxmlformats.org/officeDocument/2006/relationships/hyperlink" Target="https://climate-laws.org/rails/active_storage/blobs/eyJfcmFpbHMiOnsibWVzc2FnZSI6IkJBaHBBc01KIiwiZXhwIjpudWxsLCJwdXIiOiJibG9iX2lkIn19--79f495aedace55ddc4969920c5011dfffbaf391a/f" TargetMode="External"/><Relationship Id="rId119" Type="http://schemas.openxmlformats.org/officeDocument/2006/relationships/hyperlink" Target="https://climate-laws.org/rails/active_storage/blobs/eyJfcmFpbHMiOnsibWVzc2FnZSI6IkJBaHBBbFVJIiwiZXhwIjpudWxsLCJwdXIiOiJibG9iX2lkIn19--0501529e4b4a9684e763d638f8b577445cf4fc58/f" TargetMode="External"/><Relationship Id="rId15" Type="http://schemas.openxmlformats.org/officeDocument/2006/relationships/hyperlink" Target="https://www.ecologique-solidaire.gouv.fr/programmations-pluriannuelles-lenergie-ppe" TargetMode="External"/><Relationship Id="rId110" Type="http://schemas.openxmlformats.org/officeDocument/2006/relationships/hyperlink" Target="https://cdn.kormany.hu/uploads/document/a/a2/a2b/a2b2b7ed5179b17694659b8f050ba9648e75a0bf.pdf" TargetMode="External"/><Relationship Id="rId14" Type="http://schemas.openxmlformats.org/officeDocument/2006/relationships/hyperlink" Target="https://www.economie.gouv.fr/covid19-soutien-entreprises/mesures-plan-soutien-automobile" TargetMode="External"/><Relationship Id="rId17" Type="http://schemas.openxmlformats.org/officeDocument/2006/relationships/hyperlink" Target="https://climate-laws.org/rails/active_storage/blobs/eyJfcmFpbHMiOnsibWVzc2FnZSI6IkJBaHBBajRNIiwiZXhwIjpudWxsLCJwdXIiOiJibG9iX2lkIn19--5037723746fe87935043fb3f3db758d84d155fd6/TRER2006667D%20sign%C3%A9%20PM.pdf" TargetMode="External"/><Relationship Id="rId16" Type="http://schemas.openxmlformats.org/officeDocument/2006/relationships/hyperlink" Target="https://climate-laws.org/rails/active_storage/blobs/eyJfcmFpbHMiOnsibWVzc2FnZSI6IkJBaHBBajBNIiwiZXhwIjpudWxsLCJwdXIiOiJibG9iX2lkIn19--eb9f7ed774c4bae9597805aeb7f32f75fb07dde4/20200422%20Programmation%20pluriannuelle%20de%20l'%C3%A9nergie.pdf" TargetMode="External"/><Relationship Id="rId19" Type="http://schemas.openxmlformats.org/officeDocument/2006/relationships/hyperlink" Target="https://climate-laws.org/rails/active_storage/blobs/eyJfcmFpbHMiOnsibWVzc2FnZSI6IkJBaHBBdDRNIiwiZXhwIjpudWxsLCJwdXIiOiJibG9iX2lkIn19--82245b45cce03535df35a9d2ee8678cbeb84162a/mesures_france_relance.pdf" TargetMode="External"/><Relationship Id="rId114" Type="http://schemas.openxmlformats.org/officeDocument/2006/relationships/hyperlink" Target="https://climate-laws.org/rails/active_storage/blobs/eyJfcmFpbHMiOnsibWVzc2FnZSI6IkJBaHBBc0lKIiwiZXhwIjpudWxsLCJwdXIiOiJibG9iX2lkIn19--a4cff39f34ebadb43b92374a633975948dda294f/f" TargetMode="External"/><Relationship Id="rId18" Type="http://schemas.openxmlformats.org/officeDocument/2006/relationships/hyperlink" Target="https://www.gouvernement.fr/france-relance" TargetMode="External"/><Relationship Id="rId113" Type="http://schemas.openxmlformats.org/officeDocument/2006/relationships/hyperlink" Target="https://climate-laws.org/rails/active_storage/blobs/eyJfcmFpbHMiOnsibWVzc2FnZSI6IkJBaHBBdm9PIiwiZXhwIjpudWxsLCJwdXIiOiJibG9iX2lkIn19--dee1c0e03b6262bd9b607fd1507789ae2d1342be/Final_RRP_Hungary%20_20210702-1.pdf" TargetMode="External"/><Relationship Id="rId112" Type="http://schemas.openxmlformats.org/officeDocument/2006/relationships/hyperlink" Target="https://ec.europa.eu/info/business-economy-euro/recovery-coronavirus/recovery-and-resilience-facility/recovery-and-resilience-plan-hungary_en" TargetMode="External"/><Relationship Id="rId111" Type="http://schemas.openxmlformats.org/officeDocument/2006/relationships/hyperlink" Target="https://cdn.kormany.hu/uploads/document/6/61/61a/61aa5f835ccf3e726fb5795f766f3768f7f829c1.pdf" TargetMode="External"/><Relationship Id="rId84" Type="http://schemas.openxmlformats.org/officeDocument/2006/relationships/hyperlink" Target="https://climate-laws.org/rails/active_storage/blobs/eyJfcmFpbHMiOnsibWVzc2FnZSI6IkJBaHBBZzhLIiwiZXhwIjpudWxsLCJwdXIiOiJibG9iX2lkIn19--b7ff52211c52565e28151393608480899da12111/f" TargetMode="External"/><Relationship Id="rId83" Type="http://schemas.openxmlformats.org/officeDocument/2006/relationships/hyperlink" Target="https://climate-laws.org/rails/active_storage/blobs/eyJfcmFpbHMiOnsibWVzc2FnZSI6IkJBaHBBZzRLIiwiZXhwIjpudWxsLCJwdXIiOiJibG9iX2lkIn19--3bd8745888f790fd15b942c00aac2aadd9057765/f" TargetMode="External"/><Relationship Id="rId86" Type="http://schemas.openxmlformats.org/officeDocument/2006/relationships/hyperlink" Target="https://climate-laws.org/rails/active_storage/blobs/eyJfcmFpbHMiOnsibWVzc2FnZSI6IkJBaHBBdlFGIiwiZXhwIjpudWxsLCJwdXIiOiJibG9iX2lkIn19--cb9d409f9a2d2921b3e06532dd47d60ab0e7c36a/f" TargetMode="External"/><Relationship Id="rId85" Type="http://schemas.openxmlformats.org/officeDocument/2006/relationships/hyperlink" Target="https://www.kodiko.gr/nomologia/document_navigation/237723/nomos-4414-2016" TargetMode="External"/><Relationship Id="rId88" Type="http://schemas.openxmlformats.org/officeDocument/2006/relationships/hyperlink" Target="https://climate-laws.org/rails/active_storage/blobs/eyJfcmFpbHMiOnsibWVzc2FnZSI6IkJBaHBBdVFGIiwiZXhwIjpudWxsLCJwdXIiOiJibG9iX2lkIn19--c6535ca9b15ef270902f553e9bf87b8b9bd7f410/f" TargetMode="External"/><Relationship Id="rId87" Type="http://schemas.openxmlformats.org/officeDocument/2006/relationships/hyperlink" Target="https://climate-laws.org/rails/active_storage/blobs/eyJfcmFpbHMiOnsibWVzc2FnZSI6IkJBaHBBdU1GIiwiZXhwIjpudWxsLCJwdXIiOiJibG9iX2lkIn19--460a41f27cd5e4964b3a465dc2b4c84e71cddffa/f" TargetMode="External"/><Relationship Id="rId89" Type="http://schemas.openxmlformats.org/officeDocument/2006/relationships/hyperlink" Target="https://www.e-nomothesia.gr/kat-periballon/nomos-4685-2020-phek-92a-7-5-2020.html" TargetMode="External"/><Relationship Id="rId80" Type="http://schemas.openxmlformats.org/officeDocument/2006/relationships/hyperlink" Target="https://www.consilium.europa.eu/en/documents-publications/public-register/public-register-search/results/?WordsInSubject=&amp;WordsInText=&amp;DocumentNumber=10158%2F21&amp;InterinstitutionalFiles=&amp;DocumentDateFrom=&amp;DocumentDateTo=&amp;MeetingDateFrom=&amp;MeetingDateTo=&amp;DocumentLanguage=EN&amp;OrderBy=DOCUMENT_DATE+DESC&amp;ctl00%24ctl00%24cpMain%24cpMain%24btnSubmit=" TargetMode="External"/><Relationship Id="rId82" Type="http://schemas.openxmlformats.org/officeDocument/2006/relationships/hyperlink" Target="https://www.bundesfinanzministerium.de/Content/DE/Standardartikel/Themen/Europa/DARP/deutscher-aufbau-und-resilienzplan.html" TargetMode="External"/><Relationship Id="rId81" Type="http://schemas.openxmlformats.org/officeDocument/2006/relationships/hyperlink" Target="https://ec.europa.eu/info/files/factsheet-germanys-recovery-and-resilience-plan_en" TargetMode="External"/><Relationship Id="rId1" Type="http://schemas.openxmlformats.org/officeDocument/2006/relationships/hyperlink" Target="https://climate-laws.org/rails/active_storage/blobs/eyJfcmFpbHMiOnsibWVzc2FnZSI6IkJBaHBBaWtLIiwiZXhwIjpudWxsLCJwdXIiOiJibG9iX2lkIn19--7a298e49a382951224fc876c674cfed5e9009730/f" TargetMode="External"/><Relationship Id="rId2" Type="http://schemas.openxmlformats.org/officeDocument/2006/relationships/hyperlink" Target="https://climate-laws.org/rails/active_storage/blobs/eyJfcmFpbHMiOnsibWVzc2FnZSI6IkJBaHBBaW9LIiwiZXhwIjpudWxsLCJwdXIiOiJibG9iX2lkIn19--7606f7c8f479769c9ad3c98a8ae3aaa1c80a118e/f" TargetMode="External"/><Relationship Id="rId3" Type="http://schemas.openxmlformats.org/officeDocument/2006/relationships/hyperlink" Target="https://www.legifrance.gouv.fr/affichTexte.do?cidTexte=JORFTEXT000039440006&amp;categorieLien=id%7Cfr" TargetMode="External"/><Relationship Id="rId4" Type="http://schemas.openxmlformats.org/officeDocument/2006/relationships/hyperlink" Target="https://www.legifrance.gouv.fr/affichTexte.do?cidTexte=JORFTEXT000039440006&amp;categorieLien=id" TargetMode="External"/><Relationship Id="rId9" Type="http://schemas.openxmlformats.org/officeDocument/2006/relationships/hyperlink" Target="https://climate-laws.org/rails/active_storage/blobs/eyJfcmFpbHMiOnsibWVzc2FnZSI6IkJBaHBBcVFFIiwiZXhwIjpudWxsLCJwdXIiOiJibG9iX2lkIn19--1526a5c365a4c4a6aec3bdce4df8776b1a3301c4/f" TargetMode="External"/><Relationship Id="rId143" Type="http://schemas.openxmlformats.org/officeDocument/2006/relationships/hyperlink" Target="https://setkab.go.id/en/govt-issues-regulation-on-2020-2024-national-medium-term-development-plan/" TargetMode="External"/><Relationship Id="rId142" Type="http://schemas.openxmlformats.org/officeDocument/2006/relationships/hyperlink" Target="https://climate-laws.org/rails/active_storage/blobs/eyJfcmFpbHMiOnsibWVzc2FnZSI6IkJBaHBBbFFJIiwiZXhwIjpudWxsLCJwdXIiOiJibG9iX2lkIn19--7a0cff2fccf03e771c85d1b84aee1305c366c336/f" TargetMode="External"/><Relationship Id="rId141" Type="http://schemas.openxmlformats.org/officeDocument/2006/relationships/hyperlink" Target="https://climate-laws.org/rails/active_storage/blobs/eyJfcmFpbHMiOnsibWVzc2FnZSI6IkJBaHBBbE1JIiwiZXhwIjpudWxsLCJwdXIiOiJibG9iX2lkIn19--04ce3798b4845589f7021a9146b153d9784cd755/f" TargetMode="External"/><Relationship Id="rId140" Type="http://schemas.openxmlformats.org/officeDocument/2006/relationships/hyperlink" Target="https://mnre.gov.in/img/documents/uploads/8065c8f7b9614c5ab2e8a7e30dfc29d5.pdf" TargetMode="External"/><Relationship Id="rId5" Type="http://schemas.openxmlformats.org/officeDocument/2006/relationships/hyperlink" Target="https://www.legifrance.gouv.fr/jorf/id/JORFTEXT000044637640" TargetMode="External"/><Relationship Id="rId6" Type="http://schemas.openxmlformats.org/officeDocument/2006/relationships/hyperlink" Target="https://www.legifrance.gouv.fr/codes/id/LEGIARTI000043012244/2022-01-01/" TargetMode="External"/><Relationship Id="rId7" Type="http://schemas.openxmlformats.org/officeDocument/2006/relationships/hyperlink" Target="https://climate-laws.org/rails/active_storage/blobs/eyJfcmFpbHMiOnsibWVzc2FnZSI6IkJBaHBBam9HIiwiZXhwIjpudWxsLCJwdXIiOiJibG9iX2lkIn19--90f59083e8b145498ee1099b7a9d2150db3959b7/f" TargetMode="External"/><Relationship Id="rId8" Type="http://schemas.openxmlformats.org/officeDocument/2006/relationships/hyperlink" Target="https://www.ecologique-solidaire.gouv.fr/plan-hydrogene-outil-davenir-transition-energetique" TargetMode="External"/><Relationship Id="rId144" Type="http://schemas.openxmlformats.org/officeDocument/2006/relationships/drawing" Target="../drawings/drawing5.xml"/><Relationship Id="rId73" Type="http://schemas.openxmlformats.org/officeDocument/2006/relationships/hyperlink" Target="https://ec.europa.eu/energy/sites/ener/files/documents/de_final_necp_main_en.pdf" TargetMode="External"/><Relationship Id="rId72" Type="http://schemas.openxmlformats.org/officeDocument/2006/relationships/hyperlink" Target="https://www.bundesregierung.de/breg-de/themen/klimaschutz/climate-change-act-2021-1913970" TargetMode="External"/><Relationship Id="rId75" Type="http://schemas.openxmlformats.org/officeDocument/2006/relationships/hyperlink" Target="http://www.gesetze-im-internet.de/behg/" TargetMode="External"/><Relationship Id="rId74" Type="http://schemas.openxmlformats.org/officeDocument/2006/relationships/hyperlink" Target="https://ec.europa.eu/energy/sites/ener/files/de_final_necp_main_de.pdf" TargetMode="External"/><Relationship Id="rId77" Type="http://schemas.openxmlformats.org/officeDocument/2006/relationships/hyperlink" Target="https://dip21.bundestag.de/dip21/btd/19/223/1922346.pdf" TargetMode="External"/><Relationship Id="rId76" Type="http://schemas.openxmlformats.org/officeDocument/2006/relationships/hyperlink" Target="https://dip21.bundestag.de/dip21/btd/19/199/1919929.pdf" TargetMode="External"/><Relationship Id="rId79" Type="http://schemas.openxmlformats.org/officeDocument/2006/relationships/hyperlink" Target="https://www.consilium.europa.eu/en/documents-publications/public-register/public-register-search/results/?WordsInSubject=&amp;WordsInText=&amp;DocumentNumber=10158%2F21&amp;InterinstitutionalFiles=&amp;DocumentDateFrom=&amp;DocumentDateTo=&amp;MeetingDateFrom=&amp;MeetingDateTo=&amp;DocumentLanguage=EN&amp;OrderBy=DOCUMENT_DATE+DESC&amp;ctl00%24ctl00%24cpMain%24cpMain%24btnSubmit=%7Cen" TargetMode="External"/><Relationship Id="rId78" Type="http://schemas.openxmlformats.org/officeDocument/2006/relationships/hyperlink" Target="https://ec.europa.eu/info/business-economy-euro/recovery-coronavirus/recovery-and-resilience-facility/germanys-recovery-and-resilience-plan_en" TargetMode="External"/><Relationship Id="rId71" Type="http://schemas.openxmlformats.org/officeDocument/2006/relationships/hyperlink" Target="https://www.bmu.de/fileadmin/Daten_BMU/Download_PDF/Klimaschutz/ksg_aendg_2021_bf.pdf" TargetMode="External"/><Relationship Id="rId70" Type="http://schemas.openxmlformats.org/officeDocument/2006/relationships/hyperlink" Target="http://www.gesetze-im-internet.de/englisch_ksg/englisch_ksg.pdf" TargetMode="External"/><Relationship Id="rId139" Type="http://schemas.openxmlformats.org/officeDocument/2006/relationships/hyperlink" Target="https://mnre.gov.in/img/documents/uploads/8065c8f7b9614c5ab2e8a7e30dfc29d5.pdf" TargetMode="External"/><Relationship Id="rId138" Type="http://schemas.openxmlformats.org/officeDocument/2006/relationships/hyperlink" Target="https://www.india.gov.in/spotlight/pm-kusum-pradhan-mantri-kisan-urja-suraksha-evam-utthaan-mahabhiyan-scheme" TargetMode="External"/><Relationship Id="rId137" Type="http://schemas.openxmlformats.org/officeDocument/2006/relationships/hyperlink" Target="https://climate-laws.org/rails/active_storage/blobs/eyJfcmFpbHMiOnsibWVzc2FnZSI6IkJBaHBBazRNIiwiZXhwIjpudWxsLCJwdXIiOiJibG9iX2lkIn19--a3504680cfd61f04cb52e49814ab877227764e89/The%20Compensatory%20Afforestation%20Fund%20Act,%202016.pdf" TargetMode="External"/><Relationship Id="rId132" Type="http://schemas.openxmlformats.org/officeDocument/2006/relationships/hyperlink" Target="https://climate-laws.org/rails/active_storage/blobs/eyJfcmFpbHMiOnsibWVzc2FnZSI6IkJBaHBBdE1KIiwiZXhwIjpudWxsLCJwdXIiOiJibG9iX2lkIn19--b1e76785e8da061c06b46a6fc1b332dba2702be7/f" TargetMode="External"/><Relationship Id="rId131" Type="http://schemas.openxmlformats.org/officeDocument/2006/relationships/hyperlink" Target="https://climate-laws.org/rails/active_storage/blobs/eyJfcmFpbHMiOnsibWVzc2FnZSI6IkJBaHBBdGNKIiwiZXhwIjpudWxsLCJwdXIiOiJibG9iX2lkIn19--c6ff74d5201c1a9f0ed708bbd9f2b6d468a26c1f/f" TargetMode="External"/><Relationship Id="rId130" Type="http://schemas.openxmlformats.org/officeDocument/2006/relationships/hyperlink" Target="https://climate-laws.org/rails/active_storage/blobs/eyJfcmFpbHMiOnsibWVzc2FnZSI6IkJBaHBBdFlKIiwiZXhwIjpudWxsLCJwdXIiOiJibG9iX2lkIn19--524bb5a34852667997d5a70c12ff2700a62be49f/f" TargetMode="External"/><Relationship Id="rId136" Type="http://schemas.openxmlformats.org/officeDocument/2006/relationships/hyperlink" Target="http://egazette.nic.in/WriteReadData/2018/188570.pdf" TargetMode="External"/><Relationship Id="rId135" Type="http://schemas.openxmlformats.org/officeDocument/2006/relationships/hyperlink" Target="https://climate-laws.org/rails/active_storage/blobs/eyJfcmFpbHMiOnsibWVzc2FnZSI6IkJBaHBBdW9FIiwiZXhwIjpudWxsLCJwdXIiOiJibG9iX2lkIn19--38082b398e58350c7dbb5beaa1e7b1e2f350b1d4/f" TargetMode="External"/><Relationship Id="rId134" Type="http://schemas.openxmlformats.org/officeDocument/2006/relationships/hyperlink" Target="https://www.indiabudget.gov.in/keytoBudDoc.php" TargetMode="External"/><Relationship Id="rId133" Type="http://schemas.openxmlformats.org/officeDocument/2006/relationships/hyperlink" Target="https://climate-laws.org/rails/active_storage/blobs/eyJfcmFpbHMiOnsibWVzc2FnZSI6IkJBaHBBbzhLIiwiZXhwIjpudWxsLCJwdXIiOiJibG9iX2lkIn19--a1a91e6e2f875e81223890501ac39e1889ecb679/1327%20-%20amendment.pdf" TargetMode="External"/><Relationship Id="rId62" Type="http://schemas.openxmlformats.org/officeDocument/2006/relationships/hyperlink" Target="https://www.gesetze-im-internet.de/eeg_2014/EEG_2021.pdf" TargetMode="External"/><Relationship Id="rId61" Type="http://schemas.openxmlformats.org/officeDocument/2006/relationships/hyperlink" Target="https://climate-laws.org/rails/active_storage/blobs/eyJfcmFpbHMiOnsibWVzc2FnZSI6IkJBaHBBdTBIIiwiZXhwIjpudWxsLCJwdXIiOiJibG9iX2lkIn19--37411ac97fc767b295753e19589af3aa27d34088/f" TargetMode="External"/><Relationship Id="rId64" Type="http://schemas.openxmlformats.org/officeDocument/2006/relationships/hyperlink" Target="https://climate-laws.org/rails/active_storage/blobs/eyJfcmFpbHMiOnsibWVzc2FnZSI6IkJBaHBBb2tGIiwiZXhwIjpudWxsLCJwdXIiOiJibG9iX2lkIn19--71195783e4189cfdd234981b13564f1dde7db528/f" TargetMode="External"/><Relationship Id="rId63" Type="http://schemas.openxmlformats.org/officeDocument/2006/relationships/hyperlink" Target="https://climate-laws.org/rails/active_storage/blobs/eyJfcmFpbHMiOnsibWVzc2FnZSI6IkJBaHBBb2dGIiwiZXhwIjpudWxsLCJwdXIiOiJibG9iX2lkIn19--3d642c2bab212b54b2038274c52c405fcc6404da/f" TargetMode="External"/><Relationship Id="rId66" Type="http://schemas.openxmlformats.org/officeDocument/2006/relationships/hyperlink" Target="http://www.gesetze-im-internet.de/windseeg/" TargetMode="External"/><Relationship Id="rId65" Type="http://schemas.openxmlformats.org/officeDocument/2006/relationships/hyperlink" Target="http://www.gesetze-im-internet.de/windseeg/WindSeeG.pdf" TargetMode="External"/><Relationship Id="rId68" Type="http://schemas.openxmlformats.org/officeDocument/2006/relationships/hyperlink" Target="https://www.bgbl.de/xaver/bgbl/start.xav?startbk=Bundesanzeiger_BGBl&amp;start=//*%5B@attr_id=%27bgbl119s0010.pdf%27%5D" TargetMode="External"/><Relationship Id="rId67" Type="http://schemas.openxmlformats.org/officeDocument/2006/relationships/hyperlink" Target="https://www.bgbl.de/xaver/bgbl/start.xav?startbk=Bundesanzeiger_BGBl&amp;start=//*%5B@attr_id=%27bgbl119s0010.pdf%27%5D" TargetMode="External"/><Relationship Id="rId60" Type="http://schemas.openxmlformats.org/officeDocument/2006/relationships/hyperlink" Target="http://www.gesetze-im-internet.de/enwg_2005/BJNR197010005.html" TargetMode="External"/><Relationship Id="rId69" Type="http://schemas.openxmlformats.org/officeDocument/2006/relationships/hyperlink" Target="https://www.bmu.de/download/klimaschutzprogramm-2030-zur-umsetzung-des-klimaschutzplans-2050/" TargetMode="External"/><Relationship Id="rId51" Type="http://schemas.openxmlformats.org/officeDocument/2006/relationships/hyperlink" Target="https://matsne.gov.ge/ka/document/view/4912479?publication=0" TargetMode="External"/><Relationship Id="rId50" Type="http://schemas.openxmlformats.org/officeDocument/2006/relationships/hyperlink" Target="https://matsne.gov.ge/ka/document/view/4912479?publication=0%7Cka" TargetMode="External"/><Relationship Id="rId53" Type="http://schemas.openxmlformats.org/officeDocument/2006/relationships/hyperlink" Target="https://matsne.gov.ge/ka/document/view/5192433?publication=0%7Cka" TargetMode="External"/><Relationship Id="rId52" Type="http://schemas.openxmlformats.org/officeDocument/2006/relationships/hyperlink" Target="http://faolex.fao.org/docs/pdf/geo206590.pdf" TargetMode="External"/><Relationship Id="rId55" Type="http://schemas.openxmlformats.org/officeDocument/2006/relationships/hyperlink" Target="https://matsne.gov.ge/ka/document/view/5367256?publication=0%7Cka" TargetMode="External"/><Relationship Id="rId54" Type="http://schemas.openxmlformats.org/officeDocument/2006/relationships/hyperlink" Target="https://matsne.gov.ge/ka/document/view/5192433?publication=0" TargetMode="External"/><Relationship Id="rId57" Type="http://schemas.openxmlformats.org/officeDocument/2006/relationships/hyperlink" Target="https://climate-laws.org/rails/active_storage/blobs/eyJfcmFpbHMiOnsibWVzc2FnZSI6IkJBaHBBbWtKIiwiZXhwIjpudWxsLCJwdXIiOiJibG9iX2lkIn19--ad384273fe09cba35351c1510bd4bee3bebc1fc1/f" TargetMode="External"/><Relationship Id="rId56" Type="http://schemas.openxmlformats.org/officeDocument/2006/relationships/hyperlink" Target="https://matsne.gov.ge/ka/document/view/5367256?publication=0" TargetMode="External"/><Relationship Id="rId59" Type="http://schemas.openxmlformats.org/officeDocument/2006/relationships/hyperlink" Target="https://climate-laws.org/rails/active_storage/blobs/eyJfcmFpbHMiOnsibWVzc2FnZSI6IkJBaHBBaFVLIiwiZXhwIjpudWxsLCJwdXIiOiJibG9iX2lkIn19--7a0038dca5def7e94b1cf914b41ea579ef6641fb/f" TargetMode="External"/><Relationship Id="rId58" Type="http://schemas.openxmlformats.org/officeDocument/2006/relationships/hyperlink" Target="https://climate-laws.org/rails/active_storage/blobs/eyJfcmFpbHMiOnsibWVzc2FnZSI6IkJBaHBBbW9KIiwiZXhwIjpudWxsLCJwdXIiOiJibG9iX2lkIn19--52ad93022def6fcc5048c30ea6903e3b7f28bdc6/f"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s://ec.europa.eu/energy/sites/ener/files/documents/lt_final_necp_main_en.pdf" TargetMode="External"/><Relationship Id="rId42" Type="http://schemas.openxmlformats.org/officeDocument/2006/relationships/hyperlink" Target="https://ec.europa.eu/info/business-economy-euro/recovery-coronavirus/recovery-and-resilience-facility/lithuanias-recovery-and-resilience-plan_en" TargetMode="External"/><Relationship Id="rId41" Type="http://schemas.openxmlformats.org/officeDocument/2006/relationships/hyperlink" Target="https://ec.europa.eu/energy/sites/ener/files/documents/lt_final_necp_main_lt.pdf" TargetMode="External"/><Relationship Id="rId44" Type="http://schemas.openxmlformats.org/officeDocument/2006/relationships/hyperlink" Target="https://www.consilium.europa.eu/en/documents-publications/public-register/public-register-search/results/?WordsInSubject=&amp;WordsInText=&amp;DocumentNumber=10477%2F21&amp;InterinstitutionalFiles=&amp;DocumentDateFrom=&amp;DocumentDateTo=&amp;MeetingDateFrom=&amp;MeetingDateTo=&amp;DocumentLanguage=EN&amp;OrderBy=DOCUMENT_DATE+DESC&amp;ctl00%24ctl00%24cpMain%24cpMain%24btnSubmit=" TargetMode="External"/><Relationship Id="rId43" Type="http://schemas.openxmlformats.org/officeDocument/2006/relationships/hyperlink" Target="https://www.consilium.europa.eu/en/documents-publications/public-register/public-register-search/results/?WordsInSubject=&amp;WordsInText=&amp;DocumentNumber=10477%2F21&amp;InterinstitutionalFiles=&amp;DocumentDateFrom=&amp;DocumentDateTo=&amp;MeetingDateFrom=&amp;MeetingDateTo=&amp;DocumentLanguage=EN&amp;OrderBy=DOCUMENT_DATE+DESC&amp;ctl00%24ctl00%24cpMain%24cpMain%24btnSubmit=%7Cen" TargetMode="External"/><Relationship Id="rId46" Type="http://schemas.openxmlformats.org/officeDocument/2006/relationships/hyperlink" Target="https://ec.europa.eu/info/files/factsheet-lithuanias-recovery-and-resilience-plan_en" TargetMode="External"/><Relationship Id="rId45" Type="http://schemas.openxmlformats.org/officeDocument/2006/relationships/hyperlink" Target="https://finmin.lrv.lt/uploads/finmin/documents/files/Naujos%20kartos%20Lietuva%20planas.pdf" TargetMode="External"/><Relationship Id="rId107" Type="http://schemas.openxmlformats.org/officeDocument/2006/relationships/hyperlink" Target="https://climate-laws.org/rails/active_storage/blobs/eyJfcmFpbHMiOnsibWVzc2FnZSI6IkJBaHBBbTBLIiwiZXhwIjpudWxsLCJwdXIiOiJibG9iX2lkIn19--41284ea637f6f258c302071e352756d695962eaf/MCO-environmental-code-JO-8.361_22-dcbr-2017.pdf" TargetMode="External"/><Relationship Id="rId106" Type="http://schemas.openxmlformats.org/officeDocument/2006/relationships/hyperlink" Target="http://journaldemonaco.gouv.mc/Journaux/2017/Journal-8361/Loi-n-1.456-du-12-decembre-2017-portant-Code-de-l-environnement" TargetMode="External"/><Relationship Id="rId105" Type="http://schemas.openxmlformats.org/officeDocument/2006/relationships/hyperlink" Target="https://www.google.com/url?sa=t&amp;rct=j&amp;q=&amp;esrc=s&amp;source=web&amp;cd=&amp;ved=2ahUKEwjJkJeW1rfwAhWrRRUIHeUVDPwQFjAAegQIAhAD&amp;url=https%3A%2F%2Fwww.energy-community.org%2Fdam%2Fjcr%3Aa282e2ac-b8d4-46b9-8784-1c680f6abc0c%2FMC2017_Annex18g.pdf&amp;usg=AOvVaw0zZzDGi-xTkLM1Ncht78Zl" TargetMode="External"/><Relationship Id="rId104" Type="http://schemas.openxmlformats.org/officeDocument/2006/relationships/hyperlink" Target="https://www.google.com/url?sa=t&amp;rct=j&amp;q=&amp;esrc=s&amp;source=web&amp;cd=&amp;ved=2ahUKEwjJkJeW1rfwAhWrRRUIHeUVDPwQFjAAegQIAhAD&amp;url=https%3A%2F%2Fwww.energy-community.org%2Fdam%2Fjcr%3Aa282e2ac-b8d4-46b9-8784-1c680f6abc0c%2FMC2017_Annex18g.pdf&amp;usg=AOvVaw0zZzDGi-xTkLM1Ncht78Zl%7Cen" TargetMode="External"/><Relationship Id="rId109" Type="http://schemas.openxmlformats.org/officeDocument/2006/relationships/hyperlink" Target="https://climate-laws.org/rails/active_storage/blobs/eyJfcmFpbHMiOnsibWVzc2FnZSI6IkJBaHBBcFVLIiwiZXhwIjpudWxsLCJwdXIiOiJibG9iX2lkIn19--dda0ca06383c4d0db4db0d1df01881948bb53fed/1462%20English.pdf" TargetMode="External"/><Relationship Id="rId108" Type="http://schemas.openxmlformats.org/officeDocument/2006/relationships/hyperlink" Target="http://www.lse.ac.uk/GranthamInstitute/wp-content/uploads/laws/1462%20Mongolian.pdf" TargetMode="External"/><Relationship Id="rId48" Type="http://schemas.openxmlformats.org/officeDocument/2006/relationships/hyperlink" Target="http://data.legilux.public.lu/file/eli-etat-leg-memorial-2016-299-fr-pdf.pdf" TargetMode="External"/><Relationship Id="rId47" Type="http://schemas.openxmlformats.org/officeDocument/2006/relationships/hyperlink" Target="http://legilux.public.lu/eli/etat/leg/loi/2016/12/23/n23/jo" TargetMode="External"/><Relationship Id="rId49" Type="http://schemas.openxmlformats.org/officeDocument/2006/relationships/hyperlink" Target="http://www.lse.ac.uk/GranthamInstitute/wp-content/uploads/2018/02/LUXclimate-and-housing-package.pdf" TargetMode="External"/><Relationship Id="rId103" Type="http://schemas.openxmlformats.org/officeDocument/2006/relationships/hyperlink" Target="http://lex.justice.md/md/363886/" TargetMode="External"/><Relationship Id="rId102" Type="http://schemas.openxmlformats.org/officeDocument/2006/relationships/hyperlink" Target="https://climate-laws.org/rails/active_storage/blobs/eyJfcmFpbHMiOnsibWVzc2FnZSI6IkJBaHBBbFVKIiwiZXhwIjpudWxsLCJwdXIiOiJibG9iX2lkIn19--6e6ea73ff2b717d059b3b8b71a3563196fba1afc/f" TargetMode="External"/><Relationship Id="rId101" Type="http://schemas.openxmlformats.org/officeDocument/2006/relationships/hyperlink" Target="https://climate-laws.org/rails/active_storage/blobs/eyJfcmFpbHMiOnsibWVzc2FnZSI6IkJBaHBBbFFKIiwiZXhwIjpudWxsLCJwdXIiOiJibG9iX2lkIn19--743b0142f3c4ec3e05f2d80711c8bb092be72334/f" TargetMode="External"/><Relationship Id="rId100" Type="http://schemas.openxmlformats.org/officeDocument/2006/relationships/hyperlink" Target="https://www.gob.mx/sener/documentos/ley-de-la-industria-electrica-y-la-ley-de-energia-geotermica" TargetMode="External"/><Relationship Id="rId31" Type="http://schemas.openxmlformats.org/officeDocument/2006/relationships/hyperlink" Target="https://www.esfondi.lv/upload/anm/01_anm_plans_04062021.pdf" TargetMode="External"/><Relationship Id="rId30" Type="http://schemas.openxmlformats.org/officeDocument/2006/relationships/hyperlink" Target="https://www.esfondi.lv/normativie-akti-1" TargetMode="External"/><Relationship Id="rId33" Type="http://schemas.openxmlformats.org/officeDocument/2006/relationships/hyperlink" Target="http://www.lse.ac.uk/GranthamInstitute/wp-content/uploads/2018/02/LBNforestprogram.pdf" TargetMode="External"/><Relationship Id="rId32" Type="http://schemas.openxmlformats.org/officeDocument/2006/relationships/hyperlink" Target="http://extwprlegs1.fao.org/docs/pdf/leb163865.pdf" TargetMode="External"/><Relationship Id="rId35" Type="http://schemas.openxmlformats.org/officeDocument/2006/relationships/hyperlink" Target="http://www.lse.ac.uk/GranthamInstitute/wp-content/uploads/2018/02/LBNNREAP_DEC14.pdf" TargetMode="External"/><Relationship Id="rId34" Type="http://schemas.openxmlformats.org/officeDocument/2006/relationships/hyperlink" Target="http://lcec.org.lb/Content/uploads/LCECOther/161214021429307~NREAP_DEC14.pdf" TargetMode="External"/><Relationship Id="rId37" Type="http://schemas.openxmlformats.org/officeDocument/2006/relationships/hyperlink" Target="https://climate-laws.org/rails/active_storage/blobs/eyJfcmFpbHMiOnsibWVzc2FnZSI6IkJBaHBBbThPIiwiZXhwIjpudWxsLCJwdXIiOiJibG9iX2lkIn19--fbb0e75b57bafb9e128c78066a09cdfbba459a38/Liberia%20Vision%202030.pdf" TargetMode="External"/><Relationship Id="rId36" Type="http://schemas.openxmlformats.org/officeDocument/2006/relationships/hyperlink" Target="https://www.emansion.gov.lr/doc/Pro-Poor%20Agenda%20For%20Prosperity%20And%20Development%20book%20for%20Email%20sending%20(1).pdf%20-%20Compressed.pdf" TargetMode="External"/><Relationship Id="rId39" Type="http://schemas.openxmlformats.org/officeDocument/2006/relationships/hyperlink" Target="https://climate-laws.org/rails/active_storage/blobs/eyJfcmFpbHMiOnsibWVzc2FnZSI6IkJBaHBBc0lIIiwiZXhwIjpudWxsLCJwdXIiOiJibG9iX2lkIn19--a86afb29787a908820d6c7f0bd873d38fc550dd1/f" TargetMode="External"/><Relationship Id="rId38" Type="http://schemas.openxmlformats.org/officeDocument/2006/relationships/hyperlink" Target="https://climate-laws.org/rails/active_storage/blobs/eyJfcmFpbHMiOnsibWVzc2FnZSI6IkJBaHBBc0VIIiwiZXhwIjpudWxsLCJwdXIiOiJibG9iX2lkIn19--a3f5ac53bc7194731f17aeeb71c86607f84513f1/f" TargetMode="External"/><Relationship Id="rId20" Type="http://schemas.openxmlformats.org/officeDocument/2006/relationships/hyperlink" Target="https://climate-laws.org/rails/active_storage/blobs/eyJfcmFpbHMiOnsibWVzc2FnZSI6IkJBaHBBdGdMIiwiZXhwIjpudWxsLCJwdXIiOiJibG9iX2lkIn19--12ef7e5c41785d2da553fa30af28915a4b37ac30/VARAMProt_051219_KlimatStrat.2437.docx" TargetMode="External"/><Relationship Id="rId22" Type="http://schemas.openxmlformats.org/officeDocument/2006/relationships/hyperlink" Target="http://tap.mk.gov.lv/lv/mk/tap/?pid=40462398&amp;mode=mk&amp;date=2020-01-28%7Clv" TargetMode="External"/><Relationship Id="rId21" Type="http://schemas.openxmlformats.org/officeDocument/2006/relationships/hyperlink" Target="http://www.zrea.lv/upload/attach/2%20Latvijas%20klimata%20neitralitates%20strategija%202050.pdf" TargetMode="External"/><Relationship Id="rId24" Type="http://schemas.openxmlformats.org/officeDocument/2006/relationships/hyperlink" Target="https://ec.europa.eu/energy/sites/ener/files/documents/lv_final_necp_main_en.pdf" TargetMode="External"/><Relationship Id="rId23" Type="http://schemas.openxmlformats.org/officeDocument/2006/relationships/hyperlink" Target="http://tap.mk.gov.lv/lv/mk/tap/?pid=40462398&amp;mode=mk&amp;date=2020-01-28" TargetMode="External"/><Relationship Id="rId129" Type="http://schemas.openxmlformats.org/officeDocument/2006/relationships/hyperlink" Target="http://ronlaw.gov.nr/nauru_lpms/files/acts/e4673599db6462c935fecb84cae487b0.pdf" TargetMode="External"/><Relationship Id="rId128" Type="http://schemas.openxmlformats.org/officeDocument/2006/relationships/hyperlink" Target="https://climate-laws.org/rails/active_storage/blobs/eyJfcmFpbHMiOnsibWVzc2FnZSI6IkJBaHBBdEFNIiwiZXhwIjpudWxsLCJwdXIiOiJibG9iX2lkIn19--3863f464e67fbfb9134922684b42912b1deb2411/Nauru%20Energy%20Roadmap%202018-2020_final.pdf" TargetMode="External"/><Relationship Id="rId127" Type="http://schemas.openxmlformats.org/officeDocument/2006/relationships/hyperlink" Target="https://climate-laws.org/rails/active_storage/blobs/eyJfcmFpbHMiOnsibWVzc2FnZSI6IkJBaHBBdmdHIiwiZXhwIjpudWxsLCJwdXIiOiJibG9iX2lkIn19--f909db71aa137af56d197216ab1b5bf62637bebd/f" TargetMode="External"/><Relationship Id="rId126" Type="http://schemas.openxmlformats.org/officeDocument/2006/relationships/hyperlink" Target="https://www.nampower.com.na/refit/" TargetMode="External"/><Relationship Id="rId26" Type="http://schemas.openxmlformats.org/officeDocument/2006/relationships/hyperlink" Target="https://ec.europa.eu/info/business-economy-euro/recovery-coronavirus/recovery-and-resilience-facility/latvias-recovery-and-resilience-plan_en" TargetMode="External"/><Relationship Id="rId121" Type="http://schemas.openxmlformats.org/officeDocument/2006/relationships/hyperlink" Target="https://autetouan.ma/web/uploads/dossier/5abcc46b5df93.pdf" TargetMode="External"/><Relationship Id="rId25" Type="http://schemas.openxmlformats.org/officeDocument/2006/relationships/hyperlink" Target="https://ec.europa.eu/energy/sites/ener/files/documents/lv_final_necp_main_lv.pdf" TargetMode="External"/><Relationship Id="rId120" Type="http://schemas.openxmlformats.org/officeDocument/2006/relationships/hyperlink" Target="https://climate-laws.org/rails/active_storage/blobs/eyJfcmFpbHMiOnsibWVzc2FnZSI6IkJBaHBBaE1JIiwiZXhwIjpudWxsLCJwdXIiOiJibG9iX2lkIn19--ba0c0e366a69fdda323a979163b17d7c5abf67d2/f" TargetMode="External"/><Relationship Id="rId28" Type="http://schemas.openxmlformats.org/officeDocument/2006/relationships/hyperlink" Target="https://www.consilium.europa.eu/en/documents-publications/public-register/public-register-search/results/?WordsInSubject=&amp;WordsInText=&amp;DocumentNumber=10157%2F21&amp;InterinstitutionalFiles=&amp;DocumentDateFrom=&amp;DocumentDateTo=&amp;MeetingDateFrom=&amp;MeetingDateTo=&amp;DocumentLanguage=EN&amp;OrderBy=DOCUMENT_DATE+DESC&amp;ctl00%24ctl00%24cpMain%24cpMain%24btnSubmit=" TargetMode="External"/><Relationship Id="rId27" Type="http://schemas.openxmlformats.org/officeDocument/2006/relationships/hyperlink" Target="https://www.consilium.europa.eu/en/documents-publications/public-register/public-register-search/results/?WordsInSubject=&amp;WordsInText=&amp;DocumentNumber=10157%2F21&amp;InterinstitutionalFiles=&amp;DocumentDateFrom=&amp;DocumentDateTo=&amp;MeetingDateFrom=&amp;MeetingDateTo=&amp;DocumentLanguage=EN&amp;OrderBy=DOCUMENT_DATE+DESC&amp;ctl00%24ctl00%24cpMain%24cpMain%24btnSubmit=%7Cen" TargetMode="External"/><Relationship Id="rId125" Type="http://schemas.openxmlformats.org/officeDocument/2006/relationships/hyperlink" Target="https://climate-laws.org/rails/active_storage/blobs/eyJfcmFpbHMiOnsibWVzc2FnZSI6IkJBaHBBdndHIiwiZXhwIjpudWxsLCJwdXIiOiJibG9iX2lkIn19--06756144a1e9cc890e26f061daccff0825483650/f" TargetMode="External"/><Relationship Id="rId29" Type="http://schemas.openxmlformats.org/officeDocument/2006/relationships/hyperlink" Target="https://ec.europa.eu/info/files/factsheet-latvias-recovery-and-resilience-plan_en" TargetMode="External"/><Relationship Id="rId124" Type="http://schemas.openxmlformats.org/officeDocument/2006/relationships/hyperlink" Target="https://climate-laws.org/rails/active_storage/blobs/eyJfcmFpbHMiOnsibWVzc2FnZSI6IkJBaHBBdnNHIiwiZXhwIjpudWxsLCJwdXIiOiJibG9iX2lkIn19--594a3c5b0a45a5af61eafc465c0e2107c7316601/f" TargetMode="External"/><Relationship Id="rId123" Type="http://schemas.openxmlformats.org/officeDocument/2006/relationships/hyperlink" Target="https://climate-laws.org/rails/active_storage/blobs/eyJfcmFpbHMiOnsibWVzc2FnZSI6IkJBaHBBZ3dNIiwiZXhwIjpudWxsLCJwdXIiOiJibG9iX2lkIn19--9ea2351a4884f4a6dce974c5246ff807079115d2/decree%20moroc%20jun19.pdf" TargetMode="External"/><Relationship Id="rId122" Type="http://schemas.openxmlformats.org/officeDocument/2006/relationships/hyperlink" Target="https://climate-laws.org/rails/active_storage/blobs/eyJfcmFpbHMiOnsibWVzc2FnZSI6IkJBaHBBcmNIIiwiZXhwIjpudWxsLCJwdXIiOiJibG9iX2lkIn19--2691d1e6f6e825774c91f0d1d58af7b5a97a77ff/f" TargetMode="External"/><Relationship Id="rId95" Type="http://schemas.openxmlformats.org/officeDocument/2006/relationships/hyperlink" Target="https://climate-laws.org/rails/active_storage/blobs/eyJfcmFpbHMiOnsibWVzc2FnZSI6IkJBaHBBa01HIiwiZXhwIjpudWxsLCJwdXIiOiJibG9iX2lkIn19--21cfc44dadb0ce6cdca00d4d1abbc51b72b1d556/f" TargetMode="External"/><Relationship Id="rId94" Type="http://schemas.openxmlformats.org/officeDocument/2006/relationships/hyperlink" Target="http://www.diputados.gob.mx/LeyesBiblio/pdf/LGCC_061120.pdf" TargetMode="External"/><Relationship Id="rId97" Type="http://schemas.openxmlformats.org/officeDocument/2006/relationships/hyperlink" Target="https://www.dof.gob.mx/nota_detalle.php?codigo=5585823&amp;fecha=07/02/2020" TargetMode="External"/><Relationship Id="rId96" Type="http://schemas.openxmlformats.org/officeDocument/2006/relationships/hyperlink" Target="https://www.dof.gob.mx/nota_detalle.php?codigo=5585823&amp;fecha=07/02/2020%7Ces" TargetMode="External"/><Relationship Id="rId11" Type="http://schemas.openxmlformats.org/officeDocument/2006/relationships/hyperlink" Target="https://www.un-page.org/files/public/kyrgyz_national_sustainable_development_strategy.pdf" TargetMode="External"/><Relationship Id="rId99" Type="http://schemas.openxmlformats.org/officeDocument/2006/relationships/hyperlink" Target="https://climate-laws.org/rails/active_storage/blobs/eyJfcmFpbHMiOnsibWVzc2FnZSI6IkJBaHBBaFVHIiwiZXhwIjpudWxsLCJwdXIiOiJibG9iX2lkIn19--28d0f1e80b708d2c376b257abd7f16cb5df70172/c" TargetMode="External"/><Relationship Id="rId10" Type="http://schemas.openxmlformats.org/officeDocument/2006/relationships/hyperlink" Target="http://cbd.minjust.gov.kg/act/view/ru-ru/53066?cl=ru-ru" TargetMode="External"/><Relationship Id="rId98" Type="http://schemas.openxmlformats.org/officeDocument/2006/relationships/hyperlink" Target="http://extwprlegs1.fao.org/docs/pdf/mex138547.pdf" TargetMode="External"/><Relationship Id="rId13" Type="http://schemas.openxmlformats.org/officeDocument/2006/relationships/hyperlink" Target="https://www.gov.kg/ru/npa/s/3116" TargetMode="External"/><Relationship Id="rId12" Type="http://schemas.openxmlformats.org/officeDocument/2006/relationships/hyperlink" Target="http://cbd.minjust.gov.kg/act/view/ru-ru/158278" TargetMode="External"/><Relationship Id="rId91" Type="http://schemas.openxmlformats.org/officeDocument/2006/relationships/hyperlink" Target="http://www.lse.ac.uk/GranthamInstitute/wp-content/uploads/laws/1447%20explanation.pdf" TargetMode="External"/><Relationship Id="rId90" Type="http://schemas.openxmlformats.org/officeDocument/2006/relationships/hyperlink" Target="https://climate-laws.org/rails/active_storage/blobs/eyJfcmFpbHMiOnsibWVzc2FnZSI6IkJBaHBBbHdKIiwiZXhwIjpudWxsLCJwdXIiOiJibG9iX2lkIn19--807cfb8ccbe78912ff9d3870ca98dd38a4a0e5dc/f" TargetMode="External"/><Relationship Id="rId93" Type="http://schemas.openxmlformats.org/officeDocument/2006/relationships/hyperlink" Target="https://climate-laws.org/rails/active_storage/blobs/eyJfcmFpbHMiOnsibWVzc2FnZSI6IkJBaHBBcDRIIiwiZXhwIjpudWxsLCJwdXIiOiJibG9iX2lkIn19--27e59ed40141edb2e4a0be2cb71678845f587a0f/f" TargetMode="External"/><Relationship Id="rId92" Type="http://schemas.openxmlformats.org/officeDocument/2006/relationships/hyperlink" Target="https://climate-laws.org/rails/active_storage/blobs/eyJfcmFpbHMiOnsibWVzc2FnZSI6IkJBaHBBcDBIIiwiZXhwIjpudWxsLCJwdXIiOiJibG9iX2lkIn19--28aff036b72371f33dddeb4ef4eb690102917481/f" TargetMode="External"/><Relationship Id="rId118" Type="http://schemas.openxmlformats.org/officeDocument/2006/relationships/hyperlink" Target="https://climate-laws.org/rails/active_storage/blobs/eyJfcmFpbHMiOnsibWVzc2FnZSI6IkJBaHBBa3dKIiwiZXhwIjpudWxsLCJwdXIiOiJibG9iX2lkIn19--020d6df120b656310e869728ceaaac37a08d4b14/f" TargetMode="External"/><Relationship Id="rId117" Type="http://schemas.openxmlformats.org/officeDocument/2006/relationships/hyperlink" Target="https://rise.esmap.org/data/files/library/mongolia/Energy%20Policy%20document_english.pdf" TargetMode="External"/><Relationship Id="rId116" Type="http://schemas.openxmlformats.org/officeDocument/2006/relationships/hyperlink" Target="https://policy.asiapacificenergy.org/sites/default/files/State%20Policy%20on%20Energy%202015-2030%20%28MN%29.pdf" TargetMode="External"/><Relationship Id="rId115" Type="http://schemas.openxmlformats.org/officeDocument/2006/relationships/hyperlink" Target="https://climate-laws.org/rails/active_storage/blobs/eyJfcmFpbHMiOnsibWVzc2FnZSI6IkJBaHBBcG9LIiwiZXhwIjpudWxsLCJwdXIiOiJibG9iX2lkIn19--c861ec3a8f784f8edb184382e8ff9c8730ed473e/1468%20English.pdf" TargetMode="External"/><Relationship Id="rId119" Type="http://schemas.openxmlformats.org/officeDocument/2006/relationships/hyperlink" Target="https://climate-laws.org/rails/active_storage/blobs/eyJfcmFpbHMiOnsibWVzc2FnZSI6IkJBaHBBazBKIiwiZXhwIjpudWxsLCJwdXIiOiJibG9iX2lkIn19--686c3eb7f4b56c0f871089e53243f0f029919bdb/f" TargetMode="External"/><Relationship Id="rId15" Type="http://schemas.openxmlformats.org/officeDocument/2006/relationships/hyperlink" Target="http://cbd.minjust.gov.kg/act/view/ru-ru/158279?cl=ru-ru" TargetMode="External"/><Relationship Id="rId110" Type="http://schemas.openxmlformats.org/officeDocument/2006/relationships/hyperlink" Target="https://climate-laws.org/rails/active_storage/blobs/eyJfcmFpbHMiOnsibWVzc2FnZSI6IkJBaHBBcFlLIiwiZXhwIjpudWxsLCJwdXIiOiJibG9iX2lkIn19--a6946b33a781debb9018f62d3638e24d4e8e44e9/1464%20Mongolian.pdf" TargetMode="External"/><Relationship Id="rId14" Type="http://schemas.openxmlformats.org/officeDocument/2006/relationships/hyperlink" Target="http://cbd.minjust.gov.kg/act/view/ru-ru/158279?cl=ru-ru%7Cru" TargetMode="External"/><Relationship Id="rId17" Type="http://schemas.openxmlformats.org/officeDocument/2006/relationships/hyperlink" Target="https://www.unido.org/sites/default/files/files/2020-04/KGZ%20IDS%202019-2023_unofficial%20English%20translation.pdf" TargetMode="External"/><Relationship Id="rId16" Type="http://schemas.openxmlformats.org/officeDocument/2006/relationships/hyperlink" Target="http://cbd.minjust.gov.kg/act/view/ru-ru/157189" TargetMode="External"/><Relationship Id="rId19" Type="http://schemas.openxmlformats.org/officeDocument/2006/relationships/hyperlink" Target="https://climate-laws.org/rails/active_storage/blobs/eyJfcmFpbHMiOnsibWVzc2FnZSI6IkJBaHBBckFHIiwiZXhwIjpudWxsLCJwdXIiOiJibG9iX2lkIn19--84b51fba920d1a021f2fe698fcd7180d31fe26f4/f" TargetMode="External"/><Relationship Id="rId114" Type="http://schemas.openxmlformats.org/officeDocument/2006/relationships/hyperlink" Target="https://climate-laws.org/rails/active_storage/blobs/eyJfcmFpbHMiOnsibWVzc2FnZSI6IkJBaHBBcGtLIiwiZXhwIjpudWxsLCJwdXIiOiJibG9iX2lkIn19--54af3eb84af5a1da0ded37619f7c31e261500d8f/1468%20Mongolian.pdf" TargetMode="External"/><Relationship Id="rId18" Type="http://schemas.openxmlformats.org/officeDocument/2006/relationships/hyperlink" Target="https://climate-laws.org/rails/active_storage/blobs/eyJfcmFpbHMiOnsibWVzc2FnZSI6IkJBaHBBcThHIiwiZXhwIjpudWxsLCJwdXIiOiJibG9iX2lkIn19--70bc520cfba6948471c61a98453f6ecf5cd848d3/f" TargetMode="External"/><Relationship Id="rId113" Type="http://schemas.openxmlformats.org/officeDocument/2006/relationships/hyperlink" Target="https://climate-laws.org/rails/active_storage/blobs/eyJfcmFpbHMiOnsibWVzc2FnZSI6IkJBaHBBcGdLIiwiZXhwIjpudWxsLCJwdXIiOiJibG9iX2lkIn19--6f45d5f05f7920addf332013e58234f2248878d9/1466%20Mongolian.pdf" TargetMode="External"/><Relationship Id="rId112" Type="http://schemas.openxmlformats.org/officeDocument/2006/relationships/hyperlink" Target="http://www.lse.ac.uk/GranthamInstitute/wp-content/uploads/laws/1466%20English.pdf" TargetMode="External"/><Relationship Id="rId111" Type="http://schemas.openxmlformats.org/officeDocument/2006/relationships/hyperlink" Target="https://climate-laws.org/rails/active_storage/blobs/eyJfcmFpbHMiOnsibWVzc2FnZSI6IkJBaHBBcGNLIiwiZXhwIjpudWxsLCJwdXIiOiJibG9iX2lkIn19--1d238d04a2a178c6b3e968fa4d03bf7cdb89dd73/1464%20English.pdf" TargetMode="External"/><Relationship Id="rId84" Type="http://schemas.openxmlformats.org/officeDocument/2006/relationships/hyperlink" Target="https://pafpnet.spc.int/attachments/article/782/RMI-JNAP-CCA-DRM-2014-18.pdf" TargetMode="External"/><Relationship Id="rId83" Type="http://schemas.openxmlformats.org/officeDocument/2006/relationships/hyperlink" Target="https://ec.europa.eu/info/sites/default/files/factsheet-malta_en_0.pdf" TargetMode="External"/><Relationship Id="rId86" Type="http://schemas.openxmlformats.org/officeDocument/2006/relationships/hyperlink" Target="http://www.tourismauthority.mu/download/82.pdf" TargetMode="External"/><Relationship Id="rId85" Type="http://schemas.openxmlformats.org/officeDocument/2006/relationships/hyperlink" Target="http://www.lse.ac.uk/GranthamInstitute/wp-content/uploads/2018/03/MHL-marshall-adaptation-RMI-JNAP-CCA-DRM-2014-18.pdf" TargetMode="External"/><Relationship Id="rId88" Type="http://schemas.openxmlformats.org/officeDocument/2006/relationships/hyperlink" Target="https://mof.govmu.org/Documents/2021/Finance%20%28Miscellaneous%20Provisions%29%20Act%202021.pdf" TargetMode="External"/><Relationship Id="rId87" Type="http://schemas.openxmlformats.org/officeDocument/2006/relationships/hyperlink" Target="https://mof.govmu.org/Documents/Documents/Budget%202018-2019/Three%20Year%20Strategic%20Plan%20201819-202021.pdf" TargetMode="External"/><Relationship Id="rId89" Type="http://schemas.openxmlformats.org/officeDocument/2006/relationships/hyperlink" Target="https://budgetmof.govmu.org/Documents/2021_22budgetspeech_english.pdf" TargetMode="External"/><Relationship Id="rId80" Type="http://schemas.openxmlformats.org/officeDocument/2006/relationships/hyperlink" Target="https://eufunds.gov.mt/en/Operational%20Programmes/Pages/Recovery-and-Resilience-Facility.aspx" TargetMode="External"/><Relationship Id="rId82" Type="http://schemas.openxmlformats.org/officeDocument/2006/relationships/hyperlink" Target="https://eufunds.gov.mt/en/Operational%20Programmes/Documents/Malta%27s%20Recovery%20%20Resiliance%20Plan%20-%20July%202021.pdf" TargetMode="External"/><Relationship Id="rId81" Type="http://schemas.openxmlformats.org/officeDocument/2006/relationships/hyperlink" Target="https://ec.europa.eu/info/business-economy-euro/recovery-coronavirus/recovery-and-resilience-facility/maltas-recovery-and-resilience-plan_en" TargetMode="External"/><Relationship Id="rId1" Type="http://schemas.openxmlformats.org/officeDocument/2006/relationships/hyperlink" Target="https://climate-laws.org/rails/active_storage/blobs/eyJfcmFpbHMiOnsibWVzc2FnZSI6IkJBaHBBc3NIIiwiZXhwIjpudWxsLCJwdXIiOiJibG9iX2lkIn19--1237ef1b5a48161bd68049b75349f97f672b7a63/f" TargetMode="External"/><Relationship Id="rId2" Type="http://schemas.openxmlformats.org/officeDocument/2006/relationships/hyperlink" Target="https://climate-laws.org/rails/active_storage/blobs/eyJfcmFpbHMiOnsibWVzc2FnZSI6IkJBaHBBc3dIIiwiZXhwIjpudWxsLCJwdXIiOiJibG9iX2lkIn19--48c62714f6bc49058625fe7843ff9293e12de842/f" TargetMode="External"/><Relationship Id="rId3" Type="http://schemas.openxmlformats.org/officeDocument/2006/relationships/hyperlink" Target="https://climate-laws.org/rails/active_storage/blobs/eyJfcmFpbHMiOnsibWVzc2FnZSI6IkJBaHBBZ0FLIiwiZXhwIjpudWxsLCJwdXIiOiJibG9iX2lkIn19--a87b302ef5af0f5e072c0503281462c00b99761d/f" TargetMode="External"/><Relationship Id="rId4" Type="http://schemas.openxmlformats.org/officeDocument/2006/relationships/hyperlink" Target="https://climate-laws.org/rails/active_storage/blobs/eyJfcmFpbHMiOnsibWVzc2FnZSI6IkJBaHBBZ0VLIiwiZXhwIjpudWxsLCJwdXIiOiJibG9iX2lkIn19--bcb50920b8e32f37c3c2b2de2b36895b85980ed7/f" TargetMode="External"/><Relationship Id="rId9" Type="http://schemas.openxmlformats.org/officeDocument/2006/relationships/hyperlink" Target="http://cbd.minjust.gov.kg/act/view/ru-ru/53066?cl=ru-ru%7Cru" TargetMode="External"/><Relationship Id="rId5" Type="http://schemas.openxmlformats.org/officeDocument/2006/relationships/hyperlink" Target="https://climate-laws.org/rails/active_storage/blobs/eyJfcmFpbHMiOnsibWVzc2FnZSI6IkJBaHBBdUlHIiwiZXhwIjpudWxsLCJwdXIiOiJibG9iX2lkIn19--d35e6f6d7354cffa89cea6da3bb70496c37cb331/f" TargetMode="External"/><Relationship Id="rId6" Type="http://schemas.openxmlformats.org/officeDocument/2006/relationships/hyperlink" Target="https://climate-laws.org/rails/active_storage/blobs/eyJfcmFpbHMiOnsibWVzc2FnZSI6IkJBaHBBdU1HIiwiZXhwIjpudWxsLCJwdXIiOiJibG9iX2lkIn19--e96a99b34988c29443824c73bb8fb19469366e44/f" TargetMode="External"/><Relationship Id="rId7" Type="http://schemas.openxmlformats.org/officeDocument/2006/relationships/hyperlink" Target="http://cbd.minjust.gov.kg/act/view/ru-ru/53067" TargetMode="External"/><Relationship Id="rId8" Type="http://schemas.openxmlformats.org/officeDocument/2006/relationships/hyperlink" Target="https://monitoring.edu.kg/wp-content/uploads/2013/09/sd_program_en.pdf" TargetMode="External"/><Relationship Id="rId73" Type="http://schemas.openxmlformats.org/officeDocument/2006/relationships/hyperlink" Target="https://climate-laws.org/rails/active_storage/blobs/eyJfcmFpbHMiOnsibWVzc2FnZSI6IkJBaHBBbUFKIiwiZXhwIjpudWxsLCJwdXIiOiJibG9iX2lkIn19--b0cd58e70e40c9fb42db5532d18cc6068e9e9237/f" TargetMode="External"/><Relationship Id="rId72" Type="http://schemas.openxmlformats.org/officeDocument/2006/relationships/hyperlink" Target="https://climate-laws.org/rails/active_storage/blobs/eyJfcmFpbHMiOnsibWVzc2FnZSI6IkJBaHBBbDhKIiwiZXhwIjpudWxsLCJwdXIiOiJibG9iX2lkIn19--43849ea572ad088115abb568d774ff73bd56d51a/f" TargetMode="External"/><Relationship Id="rId75" Type="http://schemas.openxmlformats.org/officeDocument/2006/relationships/hyperlink" Target="https://climate-laws.org/rails/active_storage/blobs/eyJfcmFpbHMiOnsibWVzc2FnZSI6IkJBaHBBcTBNIiwiZXhwIjpudWxsLCJwdXIiOiJibG9iX2lkIn19--cb6bc99a14cd5ced9e62c4f438f9f5291430ecef/2015%20National%20Climate%20Change%20Policy.pdf" TargetMode="External"/><Relationship Id="rId74" Type="http://schemas.openxmlformats.org/officeDocument/2006/relationships/hyperlink" Target="http://www.environment.gov.mv/v2/en/download/4594" TargetMode="External"/><Relationship Id="rId77" Type="http://schemas.openxmlformats.org/officeDocument/2006/relationships/hyperlink" Target="https://eur-lex.europa.eu/legal-content/EN/TXT/?uri=CONSIL:ST_11941_2021_INIT" TargetMode="External"/><Relationship Id="rId76" Type="http://schemas.openxmlformats.org/officeDocument/2006/relationships/hyperlink" Target="https://eur-lex.europa.eu/legal-content/EN/TXT/?uri=CONSIL:ST_11941_2021_INIT%7Cen" TargetMode="External"/><Relationship Id="rId79" Type="http://schemas.openxmlformats.org/officeDocument/2006/relationships/hyperlink" Target="https://eur-lex.europa.eu/legal-content/EN/TXT/?uri=CONSIL:ST_11941_2021_ADD_1" TargetMode="External"/><Relationship Id="rId78" Type="http://schemas.openxmlformats.org/officeDocument/2006/relationships/hyperlink" Target="https://eur-lex.europa.eu/legal-content/EN/TXT/?uri=CONSIL:ST_11941_2021_ADD_1%7Cen" TargetMode="External"/><Relationship Id="rId71" Type="http://schemas.openxmlformats.org/officeDocument/2006/relationships/hyperlink" Target="http://www.lse.ac.uk/GranthamInstitute/wp-content/uploads/laws/1437_amendment%202015.pdf" TargetMode="External"/><Relationship Id="rId70" Type="http://schemas.openxmlformats.org/officeDocument/2006/relationships/hyperlink" Target="https://climate-laws.org/rails/active_storage/blobs/eyJfcmFpbHMiOnsibWVzc2FnZSI6IkJBaHBBbVlKIiwiZXhwIjpudWxsLCJwdXIiOiJibG9iX2lkIn19--0ea7ef5dc724963eecd43b5c1c209b2d1cdcde10/f" TargetMode="External"/><Relationship Id="rId132" Type="http://schemas.openxmlformats.org/officeDocument/2006/relationships/hyperlink" Target="https://climate-laws.org/rails/active_storage/blobs/eyJfcmFpbHMiOnsibWVzc2FnZSI6IkJBaHBBcjBNIiwiZXhwIjpudWxsLCJwdXIiOiJibG9iX2lkIn19--25a2f240a09696fd2d7832b1d04c890e8157d8e9/1993%20Forest%20Act%201993_English.pdf" TargetMode="External"/><Relationship Id="rId131" Type="http://schemas.openxmlformats.org/officeDocument/2006/relationships/hyperlink" Target="http://ronlaw.gov.nr/nauru_lpms/files/subordinate_legislation/aab912643572c84083c256fa0857809b.pdf" TargetMode="External"/><Relationship Id="rId130" Type="http://schemas.openxmlformats.org/officeDocument/2006/relationships/hyperlink" Target="http://ronlaw.gov.nr/nauru_lpms/files/subordinate_legislation/d2e7e07941f32cd881f1611d479df8a4.pdf" TargetMode="External"/><Relationship Id="rId135" Type="http://schemas.openxmlformats.org/officeDocument/2006/relationships/drawing" Target="../drawings/drawing7.xml"/><Relationship Id="rId134" Type="http://schemas.openxmlformats.org/officeDocument/2006/relationships/hyperlink" Target="https://climate-laws.org/rails/active_storage/blobs/eyJfcmFpbHMiOnsibWVzc2FnZSI6IkJBaHBBak1OIiwiZXhwIjpudWxsLCJwdXIiOiJibG9iX2lkIn19--9973bb3b7c665cb72f12c4dce5de19547504dbd9/20191014_074-WO-0283_na.pdf" TargetMode="External"/><Relationship Id="rId133" Type="http://schemas.openxmlformats.org/officeDocument/2006/relationships/hyperlink" Target="https://climate-laws.org/rails/active_storage/blobs/eyJfcmFpbHMiOnsibWVzc2FnZSI6IkJBaHBBcjRNIiwiZXhwIjpudWxsLCJwdXIiOiJibG9iX2lkIn19--eff933e4fe7354b8990719a5bbd493ac24fa3e22/1993%20Forest%20Act%201993.pdf" TargetMode="External"/><Relationship Id="rId62" Type="http://schemas.openxmlformats.org/officeDocument/2006/relationships/hyperlink" Target="https://ec.europa.eu/energy/sites/ener/files/documents/lu_final_necp_main_de.pdf" TargetMode="External"/><Relationship Id="rId61" Type="http://schemas.openxmlformats.org/officeDocument/2006/relationships/hyperlink" Target="https://ec.europa.eu/energy/sites/ener/files/documents/lu_final_necp_main_en.pdf" TargetMode="External"/><Relationship Id="rId64" Type="http://schemas.openxmlformats.org/officeDocument/2006/relationships/hyperlink" Target="https://ec.europa.eu/info/business-economy-euro/recovery-coronavirus/recovery-and-resilience-facility/luxembourgs-recovery-and-resilience-plan_en" TargetMode="External"/><Relationship Id="rId63" Type="http://schemas.openxmlformats.org/officeDocument/2006/relationships/hyperlink" Target="https://ec.europa.eu/energy/sites/ener/files/documents/lu_final_necp_main_fr.pdf" TargetMode="External"/><Relationship Id="rId66" Type="http://schemas.openxmlformats.org/officeDocument/2006/relationships/hyperlink" Target="https://www.consilium.europa.eu/en/documents-publications/public-register/public-register-search/results/?WordsInSubject=&amp;WordsInText=&amp;DocumentNumber=10155%2F21&amp;InterinstitutionalFiles=&amp;DocumentDateFrom=&amp;DocumentDateTo=&amp;MeetingDateFrom=&amp;MeetingDateTo=&amp;DocumentLanguage=EN&amp;OrderBy=DOCUMENT_DATE+DESC&amp;ctl00%24ctl00%24cpMain%24cpMain%24btnSubmit=" TargetMode="External"/><Relationship Id="rId65" Type="http://schemas.openxmlformats.org/officeDocument/2006/relationships/hyperlink" Target="https://www.consilium.europa.eu/en/documents-publications/public-register/public-register-search/results/?WordsInSubject=&amp;WordsInText=&amp;DocumentNumber=10155%2F21&amp;InterinstitutionalFiles=&amp;DocumentDateFrom=&amp;DocumentDateTo=&amp;MeetingDateFrom=&amp;MeetingDateTo=&amp;DocumentLanguage=EN&amp;OrderBy=DOCUMENT_DATE+DESC&amp;ctl00%24ctl00%24cpMain%24cpMain%24btnSubmit=%7Cen" TargetMode="External"/><Relationship Id="rId68" Type="http://schemas.openxmlformats.org/officeDocument/2006/relationships/hyperlink" Target="https://ec.europa.eu/info/files/factsheet-luxembourgs-recovery-and-resilience-plan_en" TargetMode="External"/><Relationship Id="rId67" Type="http://schemas.openxmlformats.org/officeDocument/2006/relationships/hyperlink" Target="https://mfin.gouvernement.lu/fr/dossiers/2021/planderelance.html" TargetMode="External"/><Relationship Id="rId60" Type="http://schemas.openxmlformats.org/officeDocument/2006/relationships/hyperlink" Target="https://environnement.public.lu/fr/actualites/2020/06/primes.html" TargetMode="External"/><Relationship Id="rId69" Type="http://schemas.openxmlformats.org/officeDocument/2006/relationships/hyperlink" Target="https://ec.europa.eu/info/files/recovery-and-resilience-plan-luxembourg_en" TargetMode="External"/><Relationship Id="rId51" Type="http://schemas.openxmlformats.org/officeDocument/2006/relationships/hyperlink" Target="http://legilux.public.lu/eli/etat/leg/loi/2016/03/29/n7/jo" TargetMode="External"/><Relationship Id="rId50" Type="http://schemas.openxmlformats.org/officeDocument/2006/relationships/hyperlink" Target="http://legilux.public.lu/eli/etat/leg/loi/2012/09/13/n1/jo" TargetMode="External"/><Relationship Id="rId53" Type="http://schemas.openxmlformats.org/officeDocument/2006/relationships/hyperlink" Target="http://legilux.public.lu/eli/etat/leg/loi/2015/06/19/n6/jo" TargetMode="External"/><Relationship Id="rId52" Type="http://schemas.openxmlformats.org/officeDocument/2006/relationships/hyperlink" Target="http://www.lse.ac.uk/GranthamInstitute/wp-content/uploads/2018/02/LUXclimate-pact-municipalities.pdf" TargetMode="External"/><Relationship Id="rId55" Type="http://schemas.openxmlformats.org/officeDocument/2006/relationships/hyperlink" Target="http://legilux.public.lu/eli/etat/leg/loi/2012/08/27/n1/jo" TargetMode="External"/><Relationship Id="rId54" Type="http://schemas.openxmlformats.org/officeDocument/2006/relationships/hyperlink" Target="http://www.lse.ac.uk/GranthamInstitute/wp-content/uploads/2018/02/LUX-NG-gas-market-law.pdf" TargetMode="External"/><Relationship Id="rId57" Type="http://schemas.openxmlformats.org/officeDocument/2006/relationships/hyperlink" Target="http://www.lse.ac.uk/GranthamInstitute/wp-content/uploads/2018/02/LUX-budget-2017.pdf" TargetMode="External"/><Relationship Id="rId56" Type="http://schemas.openxmlformats.org/officeDocument/2006/relationships/hyperlink" Target="http://www.lse.ac.uk/GranthamInstitute/wp-content/uploads/2018/02/LUXgeological-storage-and-env-responsibility.pdf" TargetMode="External"/><Relationship Id="rId59" Type="http://schemas.openxmlformats.org/officeDocument/2006/relationships/hyperlink" Target="https://gouvernement.lu/fr/actualites/toutes_actualites/communiques/2020/05-mai/29-greng-relance.html" TargetMode="External"/><Relationship Id="rId58" Type="http://schemas.openxmlformats.org/officeDocument/2006/relationships/hyperlink" Target="http://legilux.public.lu/eli/etat/leg/loi/2017/12/15/a1097/jo"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ec.europa.eu/energy/sites/ener/files/documents/ro_final_necp_main_ro.pdf" TargetMode="External"/><Relationship Id="rId42" Type="http://schemas.openxmlformats.org/officeDocument/2006/relationships/hyperlink" Target="https://ec.europa.eu/info/business-economy-euro/recovery-coronavirus/recovery-and-resilience-facility/recovery-and-resilience-plan-romania_en" TargetMode="External"/><Relationship Id="rId41" Type="http://schemas.openxmlformats.org/officeDocument/2006/relationships/hyperlink" Target="https://gov.ro/ro/stiri/unda-verde-de-la-comisia-europeana-pentru-pnrr&amp;page=1" TargetMode="External"/><Relationship Id="rId44" Type="http://schemas.openxmlformats.org/officeDocument/2006/relationships/hyperlink" Target="https://climate-laws.org/rails/active_storage/blobs/eyJfcmFpbHMiOnsibWVzc2FnZSI6IkJBaHBBcklLIiwiZXhwIjpudWxsLCJwdXIiOiJibG9iX2lkIn19--b5decc270b549838785ffb44d4180326d625eee7/1592%20English.pdf" TargetMode="External"/><Relationship Id="rId43" Type="http://schemas.openxmlformats.org/officeDocument/2006/relationships/hyperlink" Target="https://climate-laws.org/rails/active_storage/blobs/eyJfcmFpbHMiOnsibWVzc2FnZSI6IkJBaHBBckVLIiwiZXhwIjpudWxsLCJwdXIiOiJibG9iX2lkIn19--a27ad82b3d93796131b072367d60cad465b7e032/1592%20Russian.pdf" TargetMode="External"/><Relationship Id="rId46" Type="http://schemas.openxmlformats.org/officeDocument/2006/relationships/hyperlink" Target="https://climate-laws.org/rails/active_storage/blobs/eyJfcmFpbHMiOnsibWVzc2FnZSI6IkJBaHBBclFLIiwiZXhwIjpudWxsLCJwdXIiOiJibG9iX2lkIn19--d937b6b730d7181bb09e04c3bcf43dd1d4e7c7ca/1594%20English.pdf" TargetMode="External"/><Relationship Id="rId45" Type="http://schemas.openxmlformats.org/officeDocument/2006/relationships/hyperlink" Target="https://climate-laws.org/rails/active_storage/blobs/eyJfcmFpbHMiOnsibWVzc2FnZSI6IkJBaHBBck1LIiwiZXhwIjpudWxsLCJwdXIiOiJibG9iX2lkIn19--741a2b2c16b7f39c0b9773a736dfdca0928f6a1b/1594%20Russian.pdf" TargetMode="External"/><Relationship Id="rId107" Type="http://schemas.openxmlformats.org/officeDocument/2006/relationships/hyperlink" Target="https://climate-laws.org/rails/active_storage/blobs/eyJfcmFpbHMiOnsibWVzc2FnZSI6IkJBaHBBaHNOIiwiZXhwIjpudWxsLCJwdXIiOiJibG9iX2lkIn19--073e4a887e97ae288a5890a98284a445e662c7ce/Executive%20Summary-NDP%202030%20-%20Our%20future%20-%20make%20it%20work.pdf" TargetMode="External"/><Relationship Id="rId106" Type="http://schemas.openxmlformats.org/officeDocument/2006/relationships/hyperlink" Target="https://www.gov.za/issues/national-development-plan-2030" TargetMode="External"/><Relationship Id="rId105" Type="http://schemas.openxmlformats.org/officeDocument/2006/relationships/hyperlink" Target="https://climate-laws.org/rails/active_storage/blobs/eyJfcmFpbHMiOnsibWVzc2FnZSI6IkJBaHBBdnNFIiwiZXhwIjpudWxsLCJwdXIiOiJibG9iX2lkIn19--689ee41252913df230db35f3a7a6b6ffc0c3ab80/f" TargetMode="External"/><Relationship Id="rId104" Type="http://schemas.openxmlformats.org/officeDocument/2006/relationships/hyperlink" Target="https://climate-laws.org/rails/active_storage/blobs/eyJfcmFpbHMiOnsibWVzc2FnZSI6IkJBaHBBdm9FIiwiZXhwIjpudWxsLCJwdXIiOiJibG9iX2lkIn19--0642000646cdeab18300d2010891faf86d32f472/f" TargetMode="External"/><Relationship Id="rId109" Type="http://schemas.openxmlformats.org/officeDocument/2006/relationships/hyperlink" Target="https://www.transport.gov.za/natmap-2050" TargetMode="External"/><Relationship Id="rId108" Type="http://schemas.openxmlformats.org/officeDocument/2006/relationships/hyperlink" Target="https://www.transport.gov.za/documents/11623/89294/Green_Transport_Strategy_2018_2050_onlineversion.pdf/71e19f1d-259e-4c55-9b27-30db418f105a" TargetMode="External"/><Relationship Id="rId48" Type="http://schemas.openxmlformats.org/officeDocument/2006/relationships/hyperlink" Target="http://publication.pravo.gov.ru/Document/View/0001202010220027" TargetMode="External"/><Relationship Id="rId47" Type="http://schemas.openxmlformats.org/officeDocument/2006/relationships/hyperlink" Target="https://policy.asiapacificenergy.org/sites/default/files/Energy%20Strategy%20of%20the%20Russian%20Federation%20until%202035%20%28Government%20Decree%20No.%201523-P%20of%202020%29%28RU%29.pdf" TargetMode="External"/><Relationship Id="rId49" Type="http://schemas.openxmlformats.org/officeDocument/2006/relationships/hyperlink" Target="http://static.government.ru/media/files/7b9bstNfV640nCkkAzCRJ9N8k7uhW8mY.pdf" TargetMode="External"/><Relationship Id="rId103" Type="http://schemas.openxmlformats.org/officeDocument/2006/relationships/hyperlink" Target="https://climate-laws.org/rails/active_storage/blobs/eyJfcmFpbHMiOnsibWVzc2FnZSI6IkJBaHBBZ1VGIiwiZXhwIjpudWxsLCJwdXIiOiJibG9iX2lkIn19--e0d6d59a5d2bd803a6dd4d20eea5dea25ca2c7bd/f" TargetMode="External"/><Relationship Id="rId102" Type="http://schemas.openxmlformats.org/officeDocument/2006/relationships/hyperlink" Target="https://climate-laws.org/rails/active_storage/blobs/eyJfcmFpbHMiOnsibWVzc2FnZSI6IkJBaHBBZ1FGIiwiZXhwIjpudWxsLCJwdXIiOiJibG9iX2lkIn19--7d0e69625b2727c7bd111891b684eab06770e276/f" TargetMode="External"/><Relationship Id="rId101" Type="http://schemas.openxmlformats.org/officeDocument/2006/relationships/hyperlink" Target="http://extwprlegs1.fao.org/docs/pdf/saf176316.pdf" TargetMode="External"/><Relationship Id="rId100" Type="http://schemas.openxmlformats.org/officeDocument/2006/relationships/hyperlink" Target="http://extwprlegs1.fao.org/docs/pdf/saf199923.pdf" TargetMode="External"/><Relationship Id="rId31" Type="http://schemas.openxmlformats.org/officeDocument/2006/relationships/hyperlink" Target="https://climate-laws.org/rails/active_storage/blobs/eyJfcmFpbHMiOnsibWVzc2FnZSI6IkJBaHBBaFlHIiwiZXhwIjpudWxsLCJwdXIiOiJibG9iX2lkIn19--47f15ef275604187f9203314ff5970ff905b59ef/f" TargetMode="External"/><Relationship Id="rId30" Type="http://schemas.openxmlformats.org/officeDocument/2006/relationships/hyperlink" Target="https://lege5.ro/Gratuit/gqydcobtga/legea-nr-121-2014-privind-eficienta-energetica" TargetMode="External"/><Relationship Id="rId33" Type="http://schemas.openxmlformats.org/officeDocument/2006/relationships/hyperlink" Target="https://climate-laws.org/rails/active_storage/blobs/eyJfcmFpbHMiOnsibWVzc2FnZSI6IkJBaHBBdkVJIiwiZXhwIjpudWxsLCJwdXIiOiJibG9iX2lkIn19--1c967a1cad4b9c810abff08b46678b48fc6bb70b/f" TargetMode="External"/><Relationship Id="rId32" Type="http://schemas.openxmlformats.org/officeDocument/2006/relationships/hyperlink" Target="http://www.mmediu.ro/beta/wp-content/uploads/2013/10/2013-10-01_SNSC.pdf" TargetMode="External"/><Relationship Id="rId35" Type="http://schemas.openxmlformats.org/officeDocument/2006/relationships/hyperlink" Target="https://climate-laws.org/rails/active_storage/blobs/eyJfcmFpbHMiOnsibWVzc2FnZSI6IkJBaHBBdThJIiwiZXhwIjpudWxsLCJwdXIiOiJibG9iX2lkIn19--182a2b9d9a6f717272363df854e2cfea6eebe5da/f" TargetMode="External"/><Relationship Id="rId34" Type="http://schemas.openxmlformats.org/officeDocument/2006/relationships/hyperlink" Target="http://legislatie.just.ro/Public/DetaliiDocument/228440" TargetMode="External"/><Relationship Id="rId37" Type="http://schemas.openxmlformats.org/officeDocument/2006/relationships/hyperlink" Target="http://legislatie.just.ro/Public/DetaliiDocument/98742" TargetMode="External"/><Relationship Id="rId36" Type="http://schemas.openxmlformats.org/officeDocument/2006/relationships/hyperlink" Target="https://climate-laws.org/rails/active_storage/blobs/eyJfcmFpbHMiOnsibWVzc2FnZSI6IkJBaHBBdkFJIiwiZXhwIjpudWxsLCJwdXIiOiJibG9iX2lkIn19--0de6d475ccdf924c0621373b2f9e5efe1592b3de/f" TargetMode="External"/><Relationship Id="rId39" Type="http://schemas.openxmlformats.org/officeDocument/2006/relationships/hyperlink" Target="https://ec.europa.eu/energy/sites/ener/files/documents/ro_final_necp_main_en.pdf" TargetMode="External"/><Relationship Id="rId38" Type="http://schemas.openxmlformats.org/officeDocument/2006/relationships/hyperlink" Target="https://climate-laws.org/rails/active_storage/blobs/eyJfcmFpbHMiOnsibWVzc2FnZSI6IkJBaHBBckFLIiwiZXhwIjpudWxsLCJwdXIiOiJibG9iX2lkIn19--ce23ad6a1c8155e84f11563b111905346c3d437f/sre_L220_MO577.pdf" TargetMode="External"/><Relationship Id="rId20" Type="http://schemas.openxmlformats.org/officeDocument/2006/relationships/hyperlink" Target="https://dre.pt/home/-/dre/137618093/details/maximized" TargetMode="External"/><Relationship Id="rId22" Type="http://schemas.openxmlformats.org/officeDocument/2006/relationships/hyperlink" Target="https://www.dge.mec.pt/sites/default/files/ECidadania/Educacao_Ambiental/documentos/enaac_consulta_publica.pdf" TargetMode="External"/><Relationship Id="rId21" Type="http://schemas.openxmlformats.org/officeDocument/2006/relationships/hyperlink" Target="https://dre.pt/pesquisa/-/search/69905665/details/maximized" TargetMode="External"/><Relationship Id="rId24" Type="http://schemas.openxmlformats.org/officeDocument/2006/relationships/hyperlink" Target="https://www.consilium.europa.eu/en/documents-publications/public-register/public-register-search/results/?WordsInSubject=&amp;WordsInText=&amp;DocumentNumber=10149%2F21&amp;InterinstitutionalFiles=&amp;DocumentDateFrom=&amp;DocumentDateTo=&amp;MeetingDateFrom=&amp;MeetingDateTo=&amp;DocumentLanguage=EN&amp;OrderBy=DOCUMENT_DATE+DESC&amp;ctl00%24ctl00%24cpMain%24cpMain%24btnSubmit=%7Cen" TargetMode="External"/><Relationship Id="rId23" Type="http://schemas.openxmlformats.org/officeDocument/2006/relationships/hyperlink" Target="https://dre.pt/dre/detalhe/resolucao-conselho-ministros/53-2020-137618093" TargetMode="External"/><Relationship Id="rId26" Type="http://schemas.openxmlformats.org/officeDocument/2006/relationships/hyperlink" Target="https://recuperarportugal.gov.pt/wp-content/uploads/2021/10/PRR.pdf" TargetMode="External"/><Relationship Id="rId121" Type="http://schemas.openxmlformats.org/officeDocument/2006/relationships/hyperlink" Target="https://policy.asiapacificenergy.org/sites/default/files/2nd%20Energy%20Master%20Plan.pdf(7-mar-18)" TargetMode="External"/><Relationship Id="rId25" Type="http://schemas.openxmlformats.org/officeDocument/2006/relationships/hyperlink" Target="https://www.consilium.europa.eu/en/documents-publications/public-register/public-register-search/results/?WordsInSubject=&amp;WordsInText=&amp;DocumentNumber=10149%2F21&amp;InterinstitutionalFiles=&amp;DocumentDateFrom=&amp;DocumentDateTo=&amp;MeetingDateFrom=&amp;MeetingDateTo=&amp;DocumentLanguage=EN&amp;OrderBy=DOCUMENT_DATE+DESC&amp;ctl00%24ctl00%24cpMain%24cpMain%24btnSubmit=" TargetMode="External"/><Relationship Id="rId120" Type="http://schemas.openxmlformats.org/officeDocument/2006/relationships/hyperlink" Target="https://climate-laws.org/rails/active_storage/blobs/eyJfcmFpbHMiOnsibWVzc2FnZSI6IkJBaHBBdDhLIiwiZXhwIjpudWxsLCJwdXIiOiJibG9iX2lkIn19--53375c12bcdda28d63305a046a8798e7f6611c27/8th-long-term-plan-for-electricity-supply-and-demand.pdf" TargetMode="External"/><Relationship Id="rId28" Type="http://schemas.openxmlformats.org/officeDocument/2006/relationships/hyperlink" Target="https://ec.europa.eu/info/business-economy-euro/recovery-coronavirus/recovery-and-resilience-facility/portugals-recovery-and-resilience-plan_en" TargetMode="External"/><Relationship Id="rId27" Type="http://schemas.openxmlformats.org/officeDocument/2006/relationships/hyperlink" Target="https://recuperarportugal.gov.pt" TargetMode="External"/><Relationship Id="rId29" Type="http://schemas.openxmlformats.org/officeDocument/2006/relationships/hyperlink" Target="https://climate-laws.org/rails/active_storage/blobs/eyJfcmFpbHMiOnsibWVzc2FnZSI6IkJBaHBBdmNJIiwiZXhwIjpudWxsLCJwdXIiOiJibG9iX2lkIn19--ef7155b76dc5d14e07d2423646f5f0d00a77ac42/f" TargetMode="External"/><Relationship Id="rId123" Type="http://schemas.openxmlformats.org/officeDocument/2006/relationships/drawing" Target="../drawings/drawing9.xml"/><Relationship Id="rId122" Type="http://schemas.openxmlformats.org/officeDocument/2006/relationships/hyperlink" Target="https://www.etrans.or.kr/ebook/05/files/assets/common/downloads/Third%20Energy%20Master%20Plan.pdf" TargetMode="External"/><Relationship Id="rId95" Type="http://schemas.openxmlformats.org/officeDocument/2006/relationships/hyperlink" Target="https://knowledge.unccd.int/sites/default/files/country_profile_documents/FINAL%20NATIONAL%20DROUGHT%20PLAN%20FOR%20SOMALIA%28final%29%2016%20Dec%202020%28%20PDF%20version%29.pdf" TargetMode="External"/><Relationship Id="rId94" Type="http://schemas.openxmlformats.org/officeDocument/2006/relationships/hyperlink" Target="https://www.energetika-portal.si/fileadmin/dokumenti/publikacije/premog_izhod/strategija_prem_vlada_jan202.pdf" TargetMode="External"/><Relationship Id="rId97" Type="http://schemas.openxmlformats.org/officeDocument/2006/relationships/hyperlink" Target="https://climate-laws.org/rails/active_storage/blobs/eyJfcmFpbHMiOnsibWVzc2FnZSI6IkJBaHBBcllJIiwiZXhwIjpudWxsLCJwdXIiOiJibG9iX2lkIn19--1c7e092b602cd12a07054f1a9b69baa8d4c92361/f" TargetMode="External"/><Relationship Id="rId96" Type="http://schemas.openxmlformats.org/officeDocument/2006/relationships/hyperlink" Target="https://www.gfdrr.org/sites/default/files/publication/somalia-dina-exec-summary.pdf" TargetMode="External"/><Relationship Id="rId11" Type="http://schemas.openxmlformats.org/officeDocument/2006/relationships/hyperlink" Target="https://dre.pt/dre/detalhe/resolucao-conselho-ministros/53-2020-137618093" TargetMode="External"/><Relationship Id="rId99" Type="http://schemas.openxmlformats.org/officeDocument/2006/relationships/hyperlink" Target="https://climate-laws.org/rails/active_storage/blobs/eyJfcmFpbHMiOnsibWVzc2FnZSI6IkJBaHBBbzRJIiwiZXhwIjpudWxsLCJwdXIiOiJibG9iX2lkIn19--b321256d5a6643fc10f1a4d13e157c84f3419340/f" TargetMode="External"/><Relationship Id="rId10" Type="http://schemas.openxmlformats.org/officeDocument/2006/relationships/hyperlink" Target="https://climate-laws.org/rails/active_storage/blobs/eyJfcmFpbHMiOnsibWVzc2FnZSI6IkJBaHBBc1lGIiwiZXhwIjpudWxsLCJwdXIiOiJibG9iX2lkIn19--7d2bfe207934cc74e5c0b5495901a52a72fb8b7c/f" TargetMode="External"/><Relationship Id="rId98" Type="http://schemas.openxmlformats.org/officeDocument/2006/relationships/hyperlink" Target="https://climate-laws.org/rails/active_storage/blobs/eyJfcmFpbHMiOnsibWVzc2FnZSI6IkJBaHBBcmNJIiwiZXhwIjpudWxsLCJwdXIiOiJibG9iX2lkIn19--67587d108fc68b8524e9a645e29b0d4c88f60830/f" TargetMode="External"/><Relationship Id="rId13" Type="http://schemas.openxmlformats.org/officeDocument/2006/relationships/hyperlink" Target="https://dre.pt/application/conteudo/517381" TargetMode="External"/><Relationship Id="rId12" Type="http://schemas.openxmlformats.org/officeDocument/2006/relationships/hyperlink" Target="https://dre.pt/application/conteudo/638769" TargetMode="External"/><Relationship Id="rId91" Type="http://schemas.openxmlformats.org/officeDocument/2006/relationships/hyperlink" Target="https://ec.europa.eu/info/files/factsheet-slovenias-recovery-and-resilience-plan_en" TargetMode="External"/><Relationship Id="rId90" Type="http://schemas.openxmlformats.org/officeDocument/2006/relationships/hyperlink" Target="https://www.gov.si/zbirke/projekti-in-programi/nacrt-za-okrevanje-in-odpornost" TargetMode="External"/><Relationship Id="rId93" Type="http://schemas.openxmlformats.org/officeDocument/2006/relationships/hyperlink" Target="https://climate-laws.org/rails/active_storage/blobs/eyJfcmFpbHMiOnsibWVzc2FnZSI6IkJBaHBBdlFPIiwiZXhwIjpudWxsLCJwdXIiOiJibG9iX2lkIn19--f5bac11fc7f167f394d06db3ed1e8c17a6d3fa07/sevl109-2.docx" TargetMode="External"/><Relationship Id="rId92" Type="http://schemas.openxmlformats.org/officeDocument/2006/relationships/hyperlink" Target="https://climate-laws.org/rails/active_storage/blobs/eyJfcmFpbHMiOnsibWVzc2FnZSI6IkJBaHBBdk1PIiwiZXhwIjpudWxsLCJwdXIiOiJibG9iX2lkIn19--08ebeaaca6639afdcd00053769de843dfdd97950/sevl109.docx" TargetMode="External"/><Relationship Id="rId118" Type="http://schemas.openxmlformats.org/officeDocument/2006/relationships/hyperlink" Target="https://climate-laws.org/rails/active_storage/blobs/eyJfcmFpbHMiOnsibWVzc2FnZSI6IkJBaHBBdFVNIiwiZXhwIjpudWxsLCJwdXIiOiJibG9iX2lkIn19--ba28358c34b12f4df68ace4ab06a687ea8daa63c/Framework%20Act%20English.pdf" TargetMode="External"/><Relationship Id="rId117" Type="http://schemas.openxmlformats.org/officeDocument/2006/relationships/hyperlink" Target="https://climate-laws.org/rails/active_storage/blobs/eyJfcmFpbHMiOnsibWVzc2FnZSI6IkJBaHBBdU1IIiwiZXhwIjpudWxsLCJwdXIiOiJibG9iX2lkIn19--d108ba8ba3d14443910b37cf75384baebc56a505/f" TargetMode="External"/><Relationship Id="rId116" Type="http://schemas.openxmlformats.org/officeDocument/2006/relationships/hyperlink" Target="https://ors.gir.go.kr/home/board/read.do?menuId=2&amp;boardMasterId=4&amp;boardId=44" TargetMode="External"/><Relationship Id="rId115" Type="http://schemas.openxmlformats.org/officeDocument/2006/relationships/hyperlink" Target="https://ors.gir.go.kr/home/board/read.do?menuId=2&amp;boardMasterId=4&amp;boardId=44%7Cko" TargetMode="External"/><Relationship Id="rId119" Type="http://schemas.openxmlformats.org/officeDocument/2006/relationships/hyperlink" Target="https://climate-laws.org/rails/active_storage/blobs/eyJfcmFpbHMiOnsibWVzc2FnZSI6IkJBaHBBdDRLIiwiZXhwIjpudWxsLCJwdXIiOiJibG9iX2lkIn19--a26a548c8f3e583f710b721e74937086c463fc42/Implementation-plans-for-renewable-20-by-2030.pdf" TargetMode="External"/><Relationship Id="rId15" Type="http://schemas.openxmlformats.org/officeDocument/2006/relationships/hyperlink" Target="https://dre.pt/application/conteudo/67123272" TargetMode="External"/><Relationship Id="rId110" Type="http://schemas.openxmlformats.org/officeDocument/2006/relationships/hyperlink" Target="https://climate-laws.org/rails/active_storage/blobs/eyJfcmFpbHMiOnsibWVzc2FnZSI6IkJBaHBBck1JIiwiZXhwIjpudWxsLCJwdXIiOiJibG9iX2lkIn19--c465bbadbc173d88ce267d8db9943fb62194160b/f" TargetMode="External"/><Relationship Id="rId14" Type="http://schemas.openxmlformats.org/officeDocument/2006/relationships/hyperlink" Target="https://dre.pt/application/conteudo/611330" TargetMode="External"/><Relationship Id="rId17" Type="http://schemas.openxmlformats.org/officeDocument/2006/relationships/hyperlink" Target="https://descarbonizar2050.pt/en/" TargetMode="External"/><Relationship Id="rId16" Type="http://schemas.openxmlformats.org/officeDocument/2006/relationships/hyperlink" Target="https://dre.pt/application/file/a/122760092" TargetMode="External"/><Relationship Id="rId19" Type="http://schemas.openxmlformats.org/officeDocument/2006/relationships/hyperlink" Target="https://ec.europa.eu/energy/sites/ener/files/documents/pt_final_necp_main_pt.pdf" TargetMode="External"/><Relationship Id="rId114" Type="http://schemas.openxmlformats.org/officeDocument/2006/relationships/hyperlink" Target="https://www.moef.go.kr/nw/nes/detailNesDtaView.do?menuNo=4010100&amp;searchNttId1=OLD_4020294&amp;searchBbsId1=MOSFBBS_000000000028" TargetMode="External"/><Relationship Id="rId18" Type="http://schemas.openxmlformats.org/officeDocument/2006/relationships/hyperlink" Target="https://ec.europa.eu/energy/sites/ener/files/documents/pt_final_necp_main_en.pdf" TargetMode="External"/><Relationship Id="rId113" Type="http://schemas.openxmlformats.org/officeDocument/2006/relationships/hyperlink" Target="https://www.moef.go.kr/nw/nes/detailNesDtaView.do?menuNo=4010100&amp;searchNttId1=OLD_4020294&amp;searchBbsId1=MOSFBBS_000000000028%7Cko" TargetMode="External"/><Relationship Id="rId112" Type="http://schemas.openxmlformats.org/officeDocument/2006/relationships/hyperlink" Target="https://www.law.go.kr/LSW/lsInfoP.do?efYd=20200601&amp;lsiSeq=215913&amp;ancYd=20200324&amp;nwJoYnInfo=N&amp;ancYnChk=0&amp;ancNo=17104&amp;chrClsCd=010202&amp;efGubun=Y%230000" TargetMode="External"/><Relationship Id="rId111" Type="http://schemas.openxmlformats.org/officeDocument/2006/relationships/hyperlink" Target="https://www.law.go.kr/LSW/lsInfoP.do?efYd=20200601&amp;lsiSeq=215913&amp;ancYd=20200324&amp;nwJoYnInfo=N&amp;ancYnChk=0&amp;ancNo=17104&amp;chrClsCd=010202&amp;efGubun=Y%230000" TargetMode="External"/><Relationship Id="rId84" Type="http://schemas.openxmlformats.org/officeDocument/2006/relationships/hyperlink" Target="https://climate-laws.org/rails/active_storage/blobs/eyJfcmFpbHMiOnsibWVzc2FnZSI6IkJBaHBBa1VIIiwiZXhwIjpudWxsLCJwdXIiOiJibG9iX2lkIn19--21d9fec62917885b76a3df9d0fe795e17248e40a/f" TargetMode="External"/><Relationship Id="rId83" Type="http://schemas.openxmlformats.org/officeDocument/2006/relationships/hyperlink" Target="https://climate-laws.org/rails/active_storage/blobs/eyJfcmFpbHMiOnsibWVzc2FnZSI6IkJBaHBBa1FIIiwiZXhwIjpudWxsLCJwdXIiOiJibG9iX2lkIn19--4c378d9ffaa8315c8e8bc5d115cb1b9a4a8f874e/f" TargetMode="External"/><Relationship Id="rId86" Type="http://schemas.openxmlformats.org/officeDocument/2006/relationships/hyperlink" Target="https://ec.europa.eu/energy/sites/ener/files/si_final_necp_main_sl.pdf" TargetMode="External"/><Relationship Id="rId85" Type="http://schemas.openxmlformats.org/officeDocument/2006/relationships/hyperlink" Target="https://ec.europa.eu/energy/sites/ener/files/documents/si_final_necp_main_en.pdf" TargetMode="External"/><Relationship Id="rId88" Type="http://schemas.openxmlformats.org/officeDocument/2006/relationships/hyperlink" Target="https://www.consilium.europa.eu/en/documents-publications/public-register/public-register-search/results/?WordsInSubject=&amp;WordsInText=&amp;DocumentNumber=10612%2F21&amp;InterinstitutionalFiles=&amp;DocumentDateFrom=&amp;DocumentDateTo=&amp;MeetingDateFrom=&amp;MeetingDateTo=&amp;DocumentLanguage=EN&amp;OrderBy=DOCUMENT_DATE+DESC&amp;ctl00%24ctl00%24cpMain%24cpMain%24btnSubmit=" TargetMode="External"/><Relationship Id="rId87" Type="http://schemas.openxmlformats.org/officeDocument/2006/relationships/hyperlink" Target="https://www.consilium.europa.eu/en/documents-publications/public-register/public-register-search/results/?WordsInSubject=&amp;WordsInText=&amp;DocumentNumber=10612%2F21&amp;InterinstitutionalFiles=&amp;DocumentDateFrom=&amp;DocumentDateTo=&amp;MeetingDateFrom=&amp;MeetingDateTo=&amp;DocumentLanguage=EN&amp;OrderBy=DOCUMENT_DATE+DESC&amp;ctl00%24ctl00%24cpMain%24cpMain%24btnSubmit=%7Cen" TargetMode="External"/><Relationship Id="rId89" Type="http://schemas.openxmlformats.org/officeDocument/2006/relationships/hyperlink" Target="https://www.eu-skladi.si/sl/po-2020/nacrt-za-okrevanje-in-krepitev-odpornosti" TargetMode="External"/><Relationship Id="rId80" Type="http://schemas.openxmlformats.org/officeDocument/2006/relationships/hyperlink" Target="https://www.consilium.europa.eu/en/documents-publications/public-register/public-register-search/results/?WordsInSubject=&amp;WordsInText=&amp;DocumentNumber=10156%2F21&amp;InterinstitutionalFiles=&amp;DocumentDateFrom=&amp;DocumentDateTo=&amp;MeetingDateFrom=&amp;MeetingDateTo=&amp;DocumentLanguage=EN&amp;OrderBy=DOCUMENT_DATE+DESC&amp;ctl00%24ctl00%24cpMain%24cpMain%24btnSubmit=" TargetMode="External"/><Relationship Id="rId82" Type="http://schemas.openxmlformats.org/officeDocument/2006/relationships/hyperlink" Target="https://www.planobnovy.sk" TargetMode="External"/><Relationship Id="rId81" Type="http://schemas.openxmlformats.org/officeDocument/2006/relationships/hyperlink" Target="https://ec.europa.eu/info/files/factsheet-slovakias-recovery-and-resilience-plan_en" TargetMode="External"/><Relationship Id="rId1" Type="http://schemas.openxmlformats.org/officeDocument/2006/relationships/hyperlink" Target="http://orka.sejm.gov.pl/opinie9.nsf/nazwa/809_u/$file/809_u.pdf" TargetMode="External"/><Relationship Id="rId2" Type="http://schemas.openxmlformats.org/officeDocument/2006/relationships/hyperlink" Target="https://isap.sejm.gov.pl/isap.nsf/DocDetails.xsp?id=WDU20210000234%7Cpl" TargetMode="External"/><Relationship Id="rId3" Type="http://schemas.openxmlformats.org/officeDocument/2006/relationships/hyperlink" Target="https://isap.sejm.gov.pl/isap.nsf/DocDetails.xsp?id=WDU20210000234" TargetMode="External"/><Relationship Id="rId4" Type="http://schemas.openxmlformats.org/officeDocument/2006/relationships/hyperlink" Target="https://climate-laws.org/rails/active_storage/blobs/eyJfcmFpbHMiOnsibWVzc2FnZSI6IkJBaHBBdjRJIiwiZXhwIjpudWxsLCJwdXIiOiJibG9iX2lkIn19--3d7b7b3045b0c8baa208b55594e25263ac563851/f" TargetMode="External"/><Relationship Id="rId9" Type="http://schemas.openxmlformats.org/officeDocument/2006/relationships/hyperlink" Target="https://dre.pt/application/conteudo/124134339" TargetMode="External"/><Relationship Id="rId5" Type="http://schemas.openxmlformats.org/officeDocument/2006/relationships/hyperlink" Target="http://www.planoc.com.pt/media/12295/RNBC_RESUMO_2050.pdf" TargetMode="External"/><Relationship Id="rId6" Type="http://schemas.openxmlformats.org/officeDocument/2006/relationships/hyperlink" Target="https://climate-laws.org/rails/active_storage/blobs/eyJfcmFpbHMiOnsibWVzc2FnZSI6IkJBaHBBbGtIIiwiZXhwIjpudWxsLCJwdXIiOiJibG9iX2lkIn19--579a886b35a0b21b3b84fe863dcd864ffa9a3c20/f" TargetMode="External"/><Relationship Id="rId7" Type="http://schemas.openxmlformats.org/officeDocument/2006/relationships/hyperlink" Target="https://data.dre.pt/web/guest/pesquisa/-/search/154483167/details/maximized" TargetMode="External"/><Relationship Id="rId8" Type="http://schemas.openxmlformats.org/officeDocument/2006/relationships/hyperlink" Target="https://climate-laws.org/rails/active_storage/blobs/eyJfcmFpbHMiOnsibWVzc2FnZSI6IkJBaHBBZzhIIiwiZXhwIjpudWxsLCJwdXIiOiJibG9iX2lkIn19--c2642ed46e8be464b1f9adcd10803d45f94c9357/f" TargetMode="External"/><Relationship Id="rId73" Type="http://schemas.openxmlformats.org/officeDocument/2006/relationships/hyperlink" Target="https://sso.agc.gov.sg/Act/CPA2018" TargetMode="External"/><Relationship Id="rId72" Type="http://schemas.openxmlformats.org/officeDocument/2006/relationships/hyperlink" Target="https://climate-laws.org/rails/active_storage/blobs/eyJfcmFpbHMiOnsibWVzc2FnZSI6IkJBaHBBaXdHIiwiZXhwIjpudWxsLCJwdXIiOiJibG9iX2lkIn19--910e64899464fa8858218e8fa24a6a5e1e74af9f/f" TargetMode="External"/><Relationship Id="rId75" Type="http://schemas.openxmlformats.org/officeDocument/2006/relationships/hyperlink" Target="http://www.lse.ac.uk/GranthamInstitute/wp-content/uploads/laws/1626.pdf" TargetMode="External"/><Relationship Id="rId74" Type="http://schemas.openxmlformats.org/officeDocument/2006/relationships/hyperlink" Target="https://climate-laws.org/rails/active_storage/blobs/eyJfcmFpbHMiOnsibWVzc2FnZSI6IkJBaHBBbE1HIiwiZXhwIjpudWxsLCJwdXIiOiJibG9iX2lkIn19--4579904050dd65bbbf71496d923f2dbfa699f77a/f" TargetMode="External"/><Relationship Id="rId77" Type="http://schemas.openxmlformats.org/officeDocument/2006/relationships/hyperlink" Target="https://ec.europa.eu/energy/sites/ener/files/documents/sk_final_necp_main_sk.pdf" TargetMode="External"/><Relationship Id="rId76" Type="http://schemas.openxmlformats.org/officeDocument/2006/relationships/hyperlink" Target="https://ec.europa.eu/energy/sites/ener/files/sk_final_necp_main_en.pdf" TargetMode="External"/><Relationship Id="rId79" Type="http://schemas.openxmlformats.org/officeDocument/2006/relationships/hyperlink" Target="https://www.consilium.europa.eu/en/documents-publications/public-register/public-register-search/results/?WordsInSubject=&amp;WordsInText=&amp;DocumentNumber=10156%2F21&amp;InterinstitutionalFiles=&amp;DocumentDateFrom=&amp;DocumentDateTo=&amp;MeetingDateFrom=&amp;MeetingDateTo=&amp;DocumentLanguage=EN&amp;OrderBy=DOCUMENT_DATE+DESC&amp;ctl00%24ctl00%24cpMain%24cpMain%24btnSubmit=%7Cen" TargetMode="External"/><Relationship Id="rId78" Type="http://schemas.openxmlformats.org/officeDocument/2006/relationships/hyperlink" Target="https://ec.europa.eu/info/business-economy-euro/recovery-coronavirus/recovery-and-resilience-facility/slovakias-recovery-and-resilience-plan_en" TargetMode="External"/><Relationship Id="rId71" Type="http://schemas.openxmlformats.org/officeDocument/2006/relationships/hyperlink" Target="https://www.cbd.int/doc/world/sl/sl-nbsap-v2-en.pdf" TargetMode="External"/><Relationship Id="rId70" Type="http://schemas.openxmlformats.org/officeDocument/2006/relationships/hyperlink" Target="http://extwprlegs1.fao.org/docs/pdf/sie175795.pdf" TargetMode="External"/><Relationship Id="rId62" Type="http://schemas.openxmlformats.org/officeDocument/2006/relationships/hyperlink" Target="https://climate-laws.org/rails/active_storage/blobs/eyJfcmFpbHMiOnsibWVzc2FnZSI6IkJBaHBBdXdIIiwiZXhwIjpudWxsLCJwdXIiOiJibG9iX2lkIn19--809308b145fdabc90b5e1c58fcf64b539d390626/f" TargetMode="External"/><Relationship Id="rId61" Type="http://schemas.openxmlformats.org/officeDocument/2006/relationships/hyperlink" Target="http://extwprlegs1.fao.org/docs/pdf/smr119781.pdf" TargetMode="External"/><Relationship Id="rId64" Type="http://schemas.openxmlformats.org/officeDocument/2006/relationships/hyperlink" Target="http://extwprlegs1.fao.org/docs/pdf/sau191510.pdf" TargetMode="External"/><Relationship Id="rId63" Type="http://schemas.openxmlformats.org/officeDocument/2006/relationships/hyperlink" Target="https://www.vision2030.gov.sa/media/nhyo0lix/ntp_eng_opt.pdf" TargetMode="External"/><Relationship Id="rId66" Type="http://schemas.openxmlformats.org/officeDocument/2006/relationships/hyperlink" Target="https://climate-laws.org/rails/active_storage/blobs/eyJfcmFpbHMiOnsibWVzc2FnZSI6IkJBaHBBc0VKIiwiZXhwIjpudWxsLCJwdXIiOiJibG9iX2lkIn19--45f495438649568fbf5a528c50f4e9edf6c7a92a/f" TargetMode="External"/><Relationship Id="rId65" Type="http://schemas.openxmlformats.org/officeDocument/2006/relationships/hyperlink" Target="https://www.mewa.gov.sa/en/Ministry/Agencies/TheWaterAgency/Topics/Pages/Strategy.aspx" TargetMode="External"/><Relationship Id="rId68" Type="http://schemas.openxmlformats.org/officeDocument/2006/relationships/hyperlink" Target="https://climate-laws.org/rails/active_storage/blobs/eyJfcmFpbHMiOnsibWVzc2FnZSI6IkJBaHBBcFVIIiwiZXhwIjpudWxsLCJwdXIiOiJibG9iX2lkIn19--3ebe52531f4c7676189310ab75d04f7501321f1f/f" TargetMode="External"/><Relationship Id="rId67" Type="http://schemas.openxmlformats.org/officeDocument/2006/relationships/hyperlink" Target="https://www.sec.gouv.sn/d%C3%A9cret-n%C2%B0-2020-2214-relatif-aux-attributions-du-ministre-de-lenvironnement-et-du-d%C3%A9veloppement" TargetMode="External"/><Relationship Id="rId60" Type="http://schemas.openxmlformats.org/officeDocument/2006/relationships/hyperlink" Target="http://extwprlegs1.fao.org/docs/pdf/smr119781.pdf" TargetMode="External"/><Relationship Id="rId69" Type="http://schemas.openxmlformats.org/officeDocument/2006/relationships/hyperlink" Target="https://climate-laws.org/rails/active_storage/blobs/eyJfcmFpbHMiOnsibWVzc2FnZSI6IkJBaHBBdHNLIiwiZXhwIjpudWxsLCJwdXIiOiJibG9iX2lkIn19--b67984318a4d1baf2a9433ffc274bc5fbbfed00c/4460%20English.pdf" TargetMode="External"/><Relationship Id="rId51" Type="http://schemas.openxmlformats.org/officeDocument/2006/relationships/hyperlink" Target="https://climate-laws.org/rails/active_storage/blobs/eyJfcmFpbHMiOnsibWVzc2FnZSI6IkJBaHBBaThHIiwiZXhwIjpudWxsLCJwdXIiOiJibG9iX2lkIn19--0f0a0dc9edbfedd613bb46e6ab1f89834c1a7e3d/f" TargetMode="External"/><Relationship Id="rId50" Type="http://schemas.openxmlformats.org/officeDocument/2006/relationships/hyperlink" Target="https://climate-laws.org/rails/active_storage/blobs/eyJfcmFpbHMiOnsibWVzc2FnZSI6IkJBaHBBaTRHIiwiZXhwIjpudWxsLCJwdXIiOiJibG9iX2lkIn19--181cbc9ba6612b4ab2af0a6bbbacf6589147cdd2/f" TargetMode="External"/><Relationship Id="rId53" Type="http://schemas.openxmlformats.org/officeDocument/2006/relationships/hyperlink" Target="https://climate-laws.org/rails/active_storage/blobs/eyJfcmFpbHMiOnsibWVzc2FnZSI6IkJBaHBBdUFNIiwiZXhwIjpudWxsLCJwdXIiOiJibG9iX2lkIn19--5a4b504b64aa5fc6c30308dc8e36848113af8a2b/2017%20Samoa%20Energy%20Sector%20Plan%202017-2022.pdf" TargetMode="External"/><Relationship Id="rId52" Type="http://schemas.openxmlformats.org/officeDocument/2006/relationships/hyperlink" Target="http://www.lse.ac.uk/GranthamInstitute/wp-content/uploads/laws/4835.pdf" TargetMode="External"/><Relationship Id="rId55" Type="http://schemas.openxmlformats.org/officeDocument/2006/relationships/hyperlink" Target="http://extwprlegs1.fao.org/docs/pdf/sam181186.pdf" TargetMode="External"/><Relationship Id="rId54" Type="http://schemas.openxmlformats.org/officeDocument/2006/relationships/hyperlink" Target="https://drive.google.com/file/d/119k8U1m5G1_GxrpE_1z7cTpKJZu_Yhbl/view" TargetMode="External"/><Relationship Id="rId57" Type="http://schemas.openxmlformats.org/officeDocument/2006/relationships/hyperlink" Target="https://climate-laws.org/rails/active_storage/blobs/eyJfcmFpbHMiOnsibWVzc2FnZSI6IkJBaHBBazBHIiwiZXhwIjpudWxsLCJwdXIiOiJibG9iX2lkIn19--206b0d71f8d063b4dbf6adfa2b31a41d59fe087c/f" TargetMode="External"/><Relationship Id="rId56" Type="http://schemas.openxmlformats.org/officeDocument/2006/relationships/hyperlink" Target="https://climate-laws.org/rails/active_storage/blobs/eyJfcmFpbHMiOnsibWVzc2FnZSI6IkJBaHBBa3dHIiwiZXhwIjpudWxsLCJwdXIiOiJibG9iX2lkIn19--5c9171b1a2498cdb6aed8320d2e6baea133708cb/f" TargetMode="External"/><Relationship Id="rId59" Type="http://schemas.openxmlformats.org/officeDocument/2006/relationships/hyperlink" Target="https://www.consigliograndeegenerale.sm/contents/instance18/files/document/23711leggi_7321.pdf" TargetMode="External"/><Relationship Id="rId58" Type="http://schemas.openxmlformats.org/officeDocument/2006/relationships/hyperlink" Target="https://climate-laws.org/rails/active_storage/blobs/eyJfcmFpbHMiOnsibWVzc2FnZSI6IkJBaHBBazRHIiwiZXhwIjpudWxsLCJwdXIiOiJibG9iX2lkIn19--41b9e1910fa4010bb6dd9935adcb642612cc495c/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34.5"/>
    <col customWidth="1" min="3" max="3" width="61.63"/>
  </cols>
  <sheetData>
    <row r="1">
      <c r="A1" s="1" t="s">
        <v>0</v>
      </c>
      <c r="B1" s="2" t="s">
        <v>1</v>
      </c>
      <c r="C1" s="2" t="s">
        <v>2</v>
      </c>
      <c r="D1" s="1" t="s">
        <v>3</v>
      </c>
      <c r="E1" s="1" t="s">
        <v>4</v>
      </c>
      <c r="F1" s="1" t="s">
        <v>5</v>
      </c>
      <c r="G1" s="1" t="s">
        <v>6</v>
      </c>
      <c r="H1" s="1" t="s">
        <v>7</v>
      </c>
      <c r="I1" s="1" t="s">
        <v>8</v>
      </c>
      <c r="J1" s="1" t="s">
        <v>9</v>
      </c>
      <c r="K1" s="1" t="s">
        <v>10</v>
      </c>
      <c r="L1" s="1" t="s">
        <v>11</v>
      </c>
      <c r="M1" s="1" t="s">
        <v>12</v>
      </c>
      <c r="N1" s="1" t="s">
        <v>13</v>
      </c>
    </row>
    <row r="2">
      <c r="A2" s="1">
        <v>1332.0</v>
      </c>
      <c r="B2" s="2" t="s">
        <v>14</v>
      </c>
      <c r="C2" s="2" t="s">
        <v>15</v>
      </c>
      <c r="D2" s="1" t="s">
        <v>16</v>
      </c>
      <c r="E2" s="1" t="s">
        <v>17</v>
      </c>
      <c r="F2" s="3"/>
      <c r="G2" s="1" t="s">
        <v>18</v>
      </c>
      <c r="H2" s="1">
        <v>2013.0</v>
      </c>
      <c r="I2" s="1" t="s">
        <v>19</v>
      </c>
      <c r="J2" s="1" t="s">
        <v>20</v>
      </c>
      <c r="K2" s="4" t="s">
        <v>21</v>
      </c>
      <c r="L2" s="1" t="s">
        <v>22</v>
      </c>
      <c r="N2" s="1" t="s">
        <v>23</v>
      </c>
    </row>
    <row r="3">
      <c r="A3" s="1">
        <v>1332.0</v>
      </c>
      <c r="B3" s="2" t="s">
        <v>15</v>
      </c>
      <c r="C3" s="2" t="s">
        <v>15</v>
      </c>
      <c r="D3" s="1" t="s">
        <v>16</v>
      </c>
      <c r="E3" s="1" t="s">
        <v>17</v>
      </c>
      <c r="F3" s="3"/>
      <c r="G3" s="1" t="s">
        <v>18</v>
      </c>
      <c r="H3" s="1">
        <v>2013.0</v>
      </c>
      <c r="I3" s="1" t="s">
        <v>24</v>
      </c>
      <c r="J3" s="1" t="s">
        <v>25</v>
      </c>
      <c r="K3" s="4" t="s">
        <v>26</v>
      </c>
      <c r="L3" s="1" t="s">
        <v>22</v>
      </c>
      <c r="N3" s="1" t="s">
        <v>23</v>
      </c>
    </row>
    <row r="4" hidden="1">
      <c r="A4" s="1">
        <v>1332.0</v>
      </c>
      <c r="B4" s="5"/>
      <c r="C4" s="2" t="str">
        <f>IFERROR(__xludf.DUMMYFUNCTION("GOOGLETRANSLATE(B4)"),"#VALUE!")</f>
        <v>#VALUE!</v>
      </c>
      <c r="D4" s="1" t="s">
        <v>16</v>
      </c>
      <c r="E4" s="1" t="s">
        <v>17</v>
      </c>
      <c r="F4" s="6"/>
      <c r="G4" s="6"/>
      <c r="J4" s="4" t="s">
        <v>27</v>
      </c>
      <c r="K4" s="4" t="s">
        <v>28</v>
      </c>
      <c r="L4" s="1" t="s">
        <v>22</v>
      </c>
      <c r="N4" s="1" t="s">
        <v>29</v>
      </c>
    </row>
    <row r="5">
      <c r="A5" s="1">
        <v>1332.0</v>
      </c>
      <c r="B5" s="2" t="s">
        <v>30</v>
      </c>
      <c r="C5" s="2" t="str">
        <f>IFERROR(__xludf.DUMMYFUNCTION("GOOGLETRANSLATE(B5)"),"Presidential Instruction of the Republic of Indonesia Number 5 of 2019 concerning the termination of the granting of new permits and improvement of primary natural forest governance and peatlands")</f>
        <v>Presidential Instruction of the Republic of Indonesia Number 5 of 2019 concerning the termination of the granting of new permits and improvement of primary natural forest governance and peatlands</v>
      </c>
      <c r="D5" s="1" t="s">
        <v>16</v>
      </c>
      <c r="E5" s="1" t="s">
        <v>17</v>
      </c>
      <c r="F5" s="3"/>
      <c r="G5" s="1" t="s">
        <v>18</v>
      </c>
      <c r="H5" s="1">
        <v>2019.0</v>
      </c>
      <c r="I5" s="1" t="s">
        <v>19</v>
      </c>
      <c r="J5" s="1" t="s">
        <v>31</v>
      </c>
      <c r="K5" s="4" t="s">
        <v>32</v>
      </c>
      <c r="L5" s="1" t="s">
        <v>22</v>
      </c>
      <c r="N5" s="1" t="s">
        <v>23</v>
      </c>
    </row>
    <row r="6" hidden="1">
      <c r="A6" s="1">
        <v>8234.0</v>
      </c>
      <c r="B6" s="2" t="s">
        <v>33</v>
      </c>
      <c r="C6" s="2" t="str">
        <f>IFERROR(__xludf.DUMMYFUNCTION("GOOGLETRANSLATE(B6)"),"Regulation of the Minister of Energy and Mineral Resources of the Republic of Indonesia Number 12 of 2017 concerning Utilization of Renewable Energy Sources for Electric Power Provision")</f>
        <v>Regulation of the Minister of Energy and Mineral Resources of the Republic of Indonesia Number 12 of 2017 concerning Utilization of Renewable Energy Sources for Electric Power Provision</v>
      </c>
      <c r="D6" s="1" t="s">
        <v>16</v>
      </c>
      <c r="E6" s="1" t="s">
        <v>17</v>
      </c>
      <c r="F6" s="7" t="s">
        <v>34</v>
      </c>
      <c r="G6" s="1"/>
      <c r="H6" s="1">
        <v>2017.0</v>
      </c>
      <c r="I6" s="1" t="s">
        <v>19</v>
      </c>
      <c r="J6" s="1" t="s">
        <v>35</v>
      </c>
      <c r="K6" s="4" t="s">
        <v>36</v>
      </c>
      <c r="L6" s="1" t="s">
        <v>22</v>
      </c>
      <c r="N6" s="1" t="s">
        <v>37</v>
      </c>
    </row>
    <row r="7" hidden="1">
      <c r="A7" s="1">
        <v>8234.0</v>
      </c>
      <c r="B7" s="8" t="s">
        <v>33</v>
      </c>
      <c r="C7" s="2" t="str">
        <f>IFERROR(__xludf.DUMMYFUNCTION("GOOGLETRANSLATE(B7)"),"Regulation of the Minister of Energy and Mineral Resources of the Republic of Indonesia Number 12 of 2017 concerning Utilization of Renewable Energy Sources for Electric Power Provision")</f>
        <v>Regulation of the Minister of Energy and Mineral Resources of the Republic of Indonesia Number 12 of 2017 concerning Utilization of Renewable Energy Sources for Electric Power Provision</v>
      </c>
      <c r="D7" s="1" t="s">
        <v>16</v>
      </c>
      <c r="E7" s="1" t="s">
        <v>17</v>
      </c>
      <c r="F7" s="7" t="s">
        <v>34</v>
      </c>
      <c r="G7" s="1"/>
      <c r="H7" s="1">
        <v>2017.0</v>
      </c>
      <c r="I7" s="1" t="s">
        <v>19</v>
      </c>
      <c r="J7" s="1" t="s">
        <v>38</v>
      </c>
      <c r="K7" s="4" t="s">
        <v>39</v>
      </c>
      <c r="L7" s="1" t="s">
        <v>22</v>
      </c>
      <c r="N7" s="1" t="s">
        <v>23</v>
      </c>
    </row>
    <row r="8" hidden="1">
      <c r="A8" s="1">
        <v>9582.0</v>
      </c>
      <c r="B8" s="2" t="s">
        <v>40</v>
      </c>
      <c r="C8" s="2" t="str">
        <f>IFERROR(__xludf.DUMMYFUNCTION("GOOGLETRANSLATE(B8)"),"Law of the Republic of Indonesia Number 31 of 2009 concerning Meteorology, Climatology, and Geophysics")</f>
        <v>Law of the Republic of Indonesia Number 31 of 2009 concerning Meteorology, Climatology, and Geophysics</v>
      </c>
      <c r="D8" s="1" t="s">
        <v>16</v>
      </c>
      <c r="E8" s="1" t="s">
        <v>17</v>
      </c>
      <c r="F8" s="1" t="s">
        <v>41</v>
      </c>
      <c r="G8" s="1"/>
      <c r="H8" s="1">
        <v>2009.0</v>
      </c>
      <c r="I8" s="1" t="s">
        <v>19</v>
      </c>
      <c r="J8" s="1" t="s">
        <v>42</v>
      </c>
      <c r="K8" s="4" t="s">
        <v>43</v>
      </c>
      <c r="L8" s="1" t="s">
        <v>22</v>
      </c>
      <c r="N8" s="1" t="s">
        <v>23</v>
      </c>
    </row>
    <row r="9" hidden="1">
      <c r="A9" s="1">
        <v>9582.0</v>
      </c>
      <c r="B9" s="8" t="s">
        <v>44</v>
      </c>
      <c r="C9" s="2"/>
      <c r="D9" s="1" t="s">
        <v>16</v>
      </c>
      <c r="E9" s="1" t="s">
        <v>17</v>
      </c>
      <c r="F9" s="1" t="s">
        <v>45</v>
      </c>
      <c r="G9" s="1"/>
      <c r="H9" s="1">
        <v>2009.0</v>
      </c>
      <c r="I9" s="1" t="s">
        <v>24</v>
      </c>
      <c r="J9" s="1" t="s">
        <v>46</v>
      </c>
      <c r="K9" s="4" t="s">
        <v>47</v>
      </c>
      <c r="L9" s="1" t="s">
        <v>22</v>
      </c>
      <c r="N9" s="1" t="s">
        <v>48</v>
      </c>
      <c r="O9" s="7"/>
    </row>
    <row r="10" hidden="1">
      <c r="A10" s="1">
        <v>9589.0</v>
      </c>
      <c r="B10" s="2" t="s">
        <v>49</v>
      </c>
      <c r="C10" s="2"/>
      <c r="D10" s="1" t="s">
        <v>16</v>
      </c>
      <c r="E10" s="1" t="s">
        <v>17</v>
      </c>
      <c r="F10" s="1" t="s">
        <v>34</v>
      </c>
      <c r="G10" s="1"/>
      <c r="H10" s="1">
        <v>2014.0</v>
      </c>
      <c r="I10" s="1" t="s">
        <v>24</v>
      </c>
      <c r="J10" s="1" t="s">
        <v>50</v>
      </c>
      <c r="K10" s="4" t="s">
        <v>51</v>
      </c>
      <c r="L10" s="1" t="s">
        <v>22</v>
      </c>
      <c r="N10" s="1" t="s">
        <v>23</v>
      </c>
    </row>
    <row r="11" hidden="1">
      <c r="A11" s="1">
        <v>9589.0</v>
      </c>
      <c r="B11" s="2" t="s">
        <v>52</v>
      </c>
      <c r="C11" s="2" t="str">
        <f>IFERROR(__xludf.DUMMYFUNCTION("GOOGLETRANSLATE(B11)"),"Government Regulation of the Republic of Indonesia Number 79 of 2014 concerning National Energy Policy")</f>
        <v>Government Regulation of the Republic of Indonesia Number 79 of 2014 concerning National Energy Policy</v>
      </c>
      <c r="D11" s="1" t="s">
        <v>16</v>
      </c>
      <c r="E11" s="1" t="s">
        <v>17</v>
      </c>
      <c r="F11" s="1" t="s">
        <v>34</v>
      </c>
      <c r="G11" s="1"/>
      <c r="H11" s="1">
        <v>2014.0</v>
      </c>
      <c r="I11" s="1" t="s">
        <v>19</v>
      </c>
      <c r="J11" s="1" t="s">
        <v>53</v>
      </c>
      <c r="K11" s="4" t="s">
        <v>54</v>
      </c>
      <c r="L11" s="1" t="s">
        <v>22</v>
      </c>
      <c r="N11" s="1" t="s">
        <v>23</v>
      </c>
    </row>
    <row r="12" hidden="1">
      <c r="A12" s="1">
        <v>9593.0</v>
      </c>
      <c r="B12" s="2" t="s">
        <v>55</v>
      </c>
      <c r="C12" s="2" t="str">
        <f>IFERROR(__xludf.DUMMYFUNCTION("GOOGLETRANSLATE(B12)"),"Regulation of the Minister of Forestry of the Republic of Indonesia Number: P. 36/Menhut-II/2009 concerning Procedures for Licensing Business Utilization of Absorption and/or Storage of Carbon in Production Forests and Protection Forests")</f>
        <v>Regulation of the Minister of Forestry of the Republic of Indonesia Number: P. 36/Menhut-II/2009 concerning Procedures for Licensing Business Utilization of Absorption and/or Storage of Carbon in Production Forests and Protection Forests</v>
      </c>
      <c r="D12" s="1" t="s">
        <v>16</v>
      </c>
      <c r="E12" s="1" t="s">
        <v>17</v>
      </c>
      <c r="F12" s="1" t="s">
        <v>34</v>
      </c>
      <c r="G12" s="1"/>
      <c r="H12" s="1">
        <v>2009.0</v>
      </c>
      <c r="I12" s="1" t="s">
        <v>19</v>
      </c>
      <c r="J12" s="1" t="s">
        <v>56</v>
      </c>
      <c r="K12" s="4" t="s">
        <v>57</v>
      </c>
      <c r="L12" s="1" t="s">
        <v>22</v>
      </c>
      <c r="N12" s="1" t="s">
        <v>23</v>
      </c>
    </row>
    <row r="13" hidden="1">
      <c r="A13" s="1">
        <v>9593.0</v>
      </c>
      <c r="B13" s="2" t="s">
        <v>58</v>
      </c>
      <c r="C13" s="2" t="str">
        <f>IFERROR(__xludf.DUMMYFUNCTION("GOOGLETRANSLATE(B13)"),"Regulation of the Minister of Forestry of the Republic of Indonesia Number: P.11/Menhut-II/2013 concerning Amendments to the Regulation of the Minister of Forestry Number P.36/Menhut-II/2009 concerning Procedures for Licensing Business Utilization of Abso"&amp;"rption and/or Storage of Carbon in Production Forests and Protection Forests")</f>
        <v>Regulation of the Minister of Forestry of the Republic of Indonesia Number: P.11/Menhut-II/2013 concerning Amendments to the Regulation of the Minister of Forestry Number P.36/Menhut-II/2009 concerning Procedures for Licensing Business Utilization of Absorption and/or Storage of Carbon in Production Forests and Protection Forests</v>
      </c>
      <c r="D13" s="1" t="s">
        <v>16</v>
      </c>
      <c r="E13" s="1" t="s">
        <v>17</v>
      </c>
      <c r="F13" s="1" t="s">
        <v>34</v>
      </c>
      <c r="G13" s="1"/>
      <c r="H13" s="1">
        <v>2013.0</v>
      </c>
      <c r="I13" s="1" t="s">
        <v>19</v>
      </c>
      <c r="J13" s="1" t="s">
        <v>59</v>
      </c>
      <c r="K13" s="4" t="s">
        <v>60</v>
      </c>
      <c r="L13" s="1" t="s">
        <v>22</v>
      </c>
      <c r="N13" s="1" t="s">
        <v>23</v>
      </c>
    </row>
    <row r="14" hidden="1">
      <c r="A14" s="1">
        <v>10108.0</v>
      </c>
      <c r="B14" s="2" t="s">
        <v>61</v>
      </c>
      <c r="C14" s="2" t="str">
        <f>IFERROR(__xludf.DUMMYFUNCTION("GOOGLETRANSLATE(B14)"),"Government Regulation of the Republic of Indonesia Number 57 of 2016 concerning Amendments to Government Regulation Number 71 of 2014 concerning Protection and Management of Peat Ecosystems")</f>
        <v>Government Regulation of the Republic of Indonesia Number 57 of 2016 concerning Amendments to Government Regulation Number 71 of 2014 concerning Protection and Management of Peat Ecosystems</v>
      </c>
      <c r="D14" s="1" t="s">
        <v>16</v>
      </c>
      <c r="E14" s="1" t="s">
        <v>17</v>
      </c>
      <c r="F14" s="1" t="s">
        <v>34</v>
      </c>
      <c r="G14" s="1"/>
      <c r="H14" s="1">
        <v>2016.0</v>
      </c>
      <c r="I14" s="1" t="s">
        <v>19</v>
      </c>
      <c r="J14" s="1" t="s">
        <v>62</v>
      </c>
      <c r="K14" s="4" t="s">
        <v>63</v>
      </c>
      <c r="L14" s="1" t="s">
        <v>22</v>
      </c>
      <c r="N14" s="1" t="s">
        <v>23</v>
      </c>
    </row>
    <row r="15" hidden="1">
      <c r="A15" s="1">
        <v>10108.0</v>
      </c>
      <c r="B15" s="2" t="s">
        <v>64</v>
      </c>
      <c r="C15" s="2" t="str">
        <f>IFERROR(__xludf.DUMMYFUNCTION("GOOGLETRANSLATE(B15)"),"Government Regulation of the Republic of Indonesia No MOR 71 of 2014 concerning Protection and Management of Peat Ecosystems")</f>
        <v>Government Regulation of the Republic of Indonesia No MOR 71 of 2014 concerning Protection and Management of Peat Ecosystems</v>
      </c>
      <c r="D15" s="1" t="s">
        <v>16</v>
      </c>
      <c r="E15" s="1" t="s">
        <v>17</v>
      </c>
      <c r="F15" s="1" t="s">
        <v>34</v>
      </c>
      <c r="G15" s="1"/>
      <c r="H15" s="1">
        <v>2014.0</v>
      </c>
      <c r="I15" s="1" t="s">
        <v>19</v>
      </c>
      <c r="J15" s="1" t="s">
        <v>65</v>
      </c>
      <c r="K15" s="4" t="s">
        <v>66</v>
      </c>
      <c r="L15" s="1" t="s">
        <v>22</v>
      </c>
      <c r="N15" s="1" t="s">
        <v>37</v>
      </c>
    </row>
    <row r="16" hidden="1">
      <c r="A16" s="1">
        <v>1361.0</v>
      </c>
      <c r="B16" s="2" t="s">
        <v>67</v>
      </c>
      <c r="C16" s="2"/>
      <c r="D16" s="1" t="s">
        <v>68</v>
      </c>
      <c r="E16" s="1" t="s">
        <v>69</v>
      </c>
      <c r="F16" s="1" t="s">
        <v>45</v>
      </c>
      <c r="G16" s="1"/>
      <c r="H16" s="1">
        <v>1992.0</v>
      </c>
      <c r="I16" s="1" t="s">
        <v>24</v>
      </c>
      <c r="J16" s="1" t="s">
        <v>70</v>
      </c>
      <c r="K16" s="4" t="s">
        <v>71</v>
      </c>
      <c r="L16" s="1" t="s">
        <v>22</v>
      </c>
      <c r="N16" s="1" t="s">
        <v>23</v>
      </c>
    </row>
    <row r="17" hidden="1">
      <c r="A17" s="1">
        <v>1361.0</v>
      </c>
      <c r="B17" s="2" t="s">
        <v>72</v>
      </c>
      <c r="C17" s="2"/>
      <c r="D17" s="1" t="s">
        <v>68</v>
      </c>
      <c r="E17" s="1" t="s">
        <v>69</v>
      </c>
      <c r="F17" s="1" t="s">
        <v>45</v>
      </c>
      <c r="G17" s="1"/>
      <c r="H17" s="1">
        <v>2013.0</v>
      </c>
      <c r="I17" s="1" t="s">
        <v>24</v>
      </c>
      <c r="J17" s="1" t="s">
        <v>73</v>
      </c>
      <c r="K17" s="4" t="s">
        <v>74</v>
      </c>
      <c r="L17" s="1" t="s">
        <v>22</v>
      </c>
      <c r="N17" s="1" t="s">
        <v>23</v>
      </c>
    </row>
    <row r="18" hidden="1">
      <c r="A18" s="1">
        <v>1369.0</v>
      </c>
      <c r="B18" s="2" t="s">
        <v>75</v>
      </c>
      <c r="C18" s="2"/>
      <c r="D18" s="1" t="s">
        <v>68</v>
      </c>
      <c r="E18" s="1" t="s">
        <v>69</v>
      </c>
      <c r="F18" s="1" t="s">
        <v>45</v>
      </c>
      <c r="G18" s="1"/>
      <c r="H18" s="1">
        <v>2001.0</v>
      </c>
      <c r="I18" s="1" t="s">
        <v>24</v>
      </c>
      <c r="J18" s="1" t="s">
        <v>76</v>
      </c>
      <c r="K18" s="4" t="s">
        <v>77</v>
      </c>
      <c r="L18" s="1" t="s">
        <v>22</v>
      </c>
      <c r="N18" s="1" t="s">
        <v>23</v>
      </c>
    </row>
    <row r="19" hidden="1">
      <c r="A19" s="1">
        <v>1369.0</v>
      </c>
      <c r="B19" s="2" t="s">
        <v>78</v>
      </c>
      <c r="C19" s="2"/>
      <c r="D19" s="1" t="s">
        <v>68</v>
      </c>
      <c r="E19" s="1" t="s">
        <v>69</v>
      </c>
      <c r="F19" s="1" t="s">
        <v>45</v>
      </c>
      <c r="G19" s="1"/>
      <c r="H19" s="1">
        <v>2013.0</v>
      </c>
      <c r="I19" s="1" t="s">
        <v>24</v>
      </c>
      <c r="J19" s="1" t="s">
        <v>79</v>
      </c>
      <c r="K19" s="4" t="s">
        <v>80</v>
      </c>
      <c r="L19" s="1" t="s">
        <v>22</v>
      </c>
      <c r="N19" s="1" t="s">
        <v>23</v>
      </c>
    </row>
    <row r="20" hidden="1">
      <c r="A20" s="1">
        <v>2024.0</v>
      </c>
      <c r="B20" s="2" t="s">
        <v>81</v>
      </c>
      <c r="C20" s="2"/>
      <c r="D20" s="1" t="s">
        <v>68</v>
      </c>
      <c r="E20" s="1" t="s">
        <v>69</v>
      </c>
      <c r="F20" s="1" t="s">
        <v>45</v>
      </c>
      <c r="G20" s="1"/>
      <c r="H20" s="1">
        <v>2015.0</v>
      </c>
      <c r="I20" s="1" t="s">
        <v>24</v>
      </c>
      <c r="J20" s="1" t="s">
        <v>82</v>
      </c>
      <c r="K20" s="4" t="s">
        <v>83</v>
      </c>
      <c r="L20" s="1" t="s">
        <v>22</v>
      </c>
      <c r="N20" s="1" t="s">
        <v>23</v>
      </c>
    </row>
    <row r="21" hidden="1">
      <c r="A21" s="1">
        <v>2024.0</v>
      </c>
      <c r="B21" s="2" t="s">
        <v>84</v>
      </c>
      <c r="C21" s="2"/>
      <c r="D21" s="1" t="s">
        <v>68</v>
      </c>
      <c r="E21" s="1" t="s">
        <v>69</v>
      </c>
      <c r="F21" s="9" t="s">
        <v>85</v>
      </c>
      <c r="G21" s="1"/>
      <c r="H21" s="1">
        <v>2021.0</v>
      </c>
      <c r="I21" s="1" t="s">
        <v>24</v>
      </c>
      <c r="J21" s="1" t="s">
        <v>86</v>
      </c>
      <c r="K21" s="4" t="s">
        <v>87</v>
      </c>
      <c r="L21" s="1" t="s">
        <v>22</v>
      </c>
      <c r="N21" s="1" t="s">
        <v>23</v>
      </c>
    </row>
    <row r="22" hidden="1">
      <c r="A22" s="1">
        <v>2024.0</v>
      </c>
      <c r="B22" s="2" t="s">
        <v>88</v>
      </c>
      <c r="C22" s="2"/>
      <c r="D22" s="1" t="s">
        <v>68</v>
      </c>
      <c r="E22" s="1" t="s">
        <v>69</v>
      </c>
      <c r="F22" s="9" t="s">
        <v>89</v>
      </c>
      <c r="G22" s="1"/>
      <c r="H22" s="1">
        <v>2021.0</v>
      </c>
      <c r="I22" s="1" t="s">
        <v>24</v>
      </c>
      <c r="J22" s="1" t="s">
        <v>90</v>
      </c>
      <c r="K22" s="4" t="s">
        <v>91</v>
      </c>
      <c r="L22" s="1" t="s">
        <v>22</v>
      </c>
      <c r="N22" s="1" t="s">
        <v>92</v>
      </c>
    </row>
    <row r="23" hidden="1">
      <c r="A23" s="1">
        <v>10164.0</v>
      </c>
      <c r="B23" s="2" t="s">
        <v>93</v>
      </c>
      <c r="C23" s="2"/>
      <c r="D23" s="1" t="s">
        <v>68</v>
      </c>
      <c r="E23" s="1" t="s">
        <v>69</v>
      </c>
      <c r="F23" s="1" t="s">
        <v>45</v>
      </c>
      <c r="G23" s="1"/>
      <c r="H23" s="1">
        <v>2017.0</v>
      </c>
      <c r="I23" s="1" t="s">
        <v>24</v>
      </c>
      <c r="J23" s="1" t="s">
        <v>94</v>
      </c>
      <c r="K23" s="4" t="s">
        <v>95</v>
      </c>
      <c r="L23" s="1" t="s">
        <v>22</v>
      </c>
      <c r="N23" s="1" t="s">
        <v>23</v>
      </c>
    </row>
    <row r="24" hidden="1">
      <c r="A24" s="1">
        <v>10164.0</v>
      </c>
      <c r="B24" s="2" t="s">
        <v>96</v>
      </c>
      <c r="C24" s="2"/>
      <c r="D24" s="1" t="s">
        <v>68</v>
      </c>
      <c r="E24" s="1" t="s">
        <v>69</v>
      </c>
      <c r="F24" s="9" t="s">
        <v>85</v>
      </c>
      <c r="G24" s="1"/>
      <c r="H24" s="1">
        <v>2016.0</v>
      </c>
      <c r="I24" s="1" t="s">
        <v>24</v>
      </c>
      <c r="J24" s="1" t="s">
        <v>97</v>
      </c>
      <c r="K24" s="4" t="s">
        <v>98</v>
      </c>
      <c r="L24" s="1" t="s">
        <v>22</v>
      </c>
      <c r="N24" s="1" t="s">
        <v>23</v>
      </c>
    </row>
    <row r="25" hidden="1">
      <c r="A25" s="1">
        <v>1372.0</v>
      </c>
      <c r="B25" s="10" t="s">
        <v>99</v>
      </c>
      <c r="C25" s="2" t="str">
        <f>IFERROR(__xludf.DUMMYFUNCTION("GOOGLETRANSLATE(B25)"),"Protocol No. 463")</f>
        <v>Protocol No. 463</v>
      </c>
      <c r="D25" s="1" t="s">
        <v>100</v>
      </c>
      <c r="E25" s="1" t="s">
        <v>101</v>
      </c>
      <c r="F25" s="9" t="s">
        <v>102</v>
      </c>
      <c r="G25" s="1"/>
      <c r="H25" s="1">
        <v>2011.0</v>
      </c>
      <c r="I25" s="1" t="s">
        <v>103</v>
      </c>
      <c r="J25" s="1" t="s">
        <v>104</v>
      </c>
      <c r="K25" s="4" t="s">
        <v>105</v>
      </c>
      <c r="L25" s="1" t="s">
        <v>22</v>
      </c>
      <c r="N25" s="1" t="s">
        <v>23</v>
      </c>
    </row>
    <row r="26" hidden="1">
      <c r="A26" s="1">
        <v>1372.0</v>
      </c>
      <c r="B26" s="2" t="s">
        <v>106</v>
      </c>
      <c r="C26" s="2"/>
      <c r="D26" s="1" t="s">
        <v>100</v>
      </c>
      <c r="E26" s="1" t="s">
        <v>101</v>
      </c>
      <c r="F26" s="1" t="s">
        <v>34</v>
      </c>
      <c r="G26" s="1"/>
      <c r="H26" s="1">
        <v>2011.0</v>
      </c>
      <c r="I26" s="1" t="s">
        <v>24</v>
      </c>
      <c r="J26" s="1" t="s">
        <v>107</v>
      </c>
      <c r="K26" s="4" t="s">
        <v>108</v>
      </c>
      <c r="L26" s="1" t="s">
        <v>22</v>
      </c>
      <c r="N26" s="1" t="s">
        <v>23</v>
      </c>
    </row>
    <row r="27" hidden="1">
      <c r="A27" s="1">
        <v>1377.0</v>
      </c>
      <c r="B27" s="11" t="s">
        <v>109</v>
      </c>
      <c r="C27" s="12" t="s">
        <v>110</v>
      </c>
      <c r="D27" s="1" t="s">
        <v>100</v>
      </c>
      <c r="E27" s="1" t="s">
        <v>101</v>
      </c>
      <c r="F27" s="1" t="s">
        <v>34</v>
      </c>
      <c r="G27" s="1"/>
      <c r="H27" s="1">
        <v>2004.0</v>
      </c>
      <c r="I27" s="1" t="s">
        <v>103</v>
      </c>
      <c r="J27" s="1" t="s">
        <v>111</v>
      </c>
      <c r="K27" s="4" t="s">
        <v>112</v>
      </c>
      <c r="L27" s="1" t="s">
        <v>22</v>
      </c>
      <c r="N27" s="1" t="s">
        <v>23</v>
      </c>
    </row>
    <row r="28" hidden="1">
      <c r="A28" s="1">
        <v>1377.0</v>
      </c>
      <c r="B28" s="2" t="s">
        <v>113</v>
      </c>
      <c r="C28" s="2"/>
      <c r="D28" s="1" t="s">
        <v>100</v>
      </c>
      <c r="E28" s="1" t="s">
        <v>101</v>
      </c>
      <c r="F28" s="1" t="s">
        <v>34</v>
      </c>
      <c r="G28" s="1"/>
      <c r="H28" s="1">
        <v>2004.0</v>
      </c>
      <c r="I28" s="1" t="s">
        <v>24</v>
      </c>
      <c r="J28" s="1" t="s">
        <v>114</v>
      </c>
      <c r="K28" s="4" t="s">
        <v>115</v>
      </c>
      <c r="L28" s="1" t="s">
        <v>22</v>
      </c>
      <c r="N28" s="1" t="s">
        <v>23</v>
      </c>
    </row>
    <row r="29" hidden="1">
      <c r="A29" s="1">
        <v>1378.0</v>
      </c>
      <c r="B29" s="10" t="s">
        <v>116</v>
      </c>
      <c r="C29" s="12" t="s">
        <v>117</v>
      </c>
      <c r="D29" s="1" t="s">
        <v>100</v>
      </c>
      <c r="E29" s="1" t="s">
        <v>101</v>
      </c>
      <c r="F29" s="1" t="s">
        <v>34</v>
      </c>
      <c r="G29" s="1"/>
      <c r="H29" s="1">
        <v>2004.0</v>
      </c>
      <c r="I29" s="1" t="s">
        <v>103</v>
      </c>
      <c r="J29" s="1" t="s">
        <v>118</v>
      </c>
      <c r="K29" s="4" t="s">
        <v>119</v>
      </c>
      <c r="L29" s="1" t="s">
        <v>22</v>
      </c>
      <c r="N29" s="1" t="s">
        <v>23</v>
      </c>
    </row>
    <row r="30" hidden="1">
      <c r="A30" s="1">
        <v>1378.0</v>
      </c>
      <c r="B30" s="2" t="s">
        <v>120</v>
      </c>
      <c r="C30" s="2"/>
      <c r="D30" s="1" t="s">
        <v>100</v>
      </c>
      <c r="E30" s="1" t="s">
        <v>101</v>
      </c>
      <c r="F30" s="1" t="s">
        <v>34</v>
      </c>
      <c r="G30" s="1"/>
      <c r="H30" s="1">
        <v>2004.0</v>
      </c>
      <c r="I30" s="1" t="s">
        <v>24</v>
      </c>
      <c r="J30" s="1" t="s">
        <v>121</v>
      </c>
      <c r="K30" s="4" t="s">
        <v>122</v>
      </c>
      <c r="L30" s="1" t="s">
        <v>22</v>
      </c>
      <c r="N30" s="1" t="s">
        <v>23</v>
      </c>
    </row>
    <row r="31" hidden="1">
      <c r="A31" s="1">
        <v>1380.0</v>
      </c>
      <c r="B31" s="10" t="s">
        <v>123</v>
      </c>
      <c r="C31" s="12" t="s">
        <v>124</v>
      </c>
      <c r="D31" s="1" t="s">
        <v>100</v>
      </c>
      <c r="E31" s="1" t="s">
        <v>101</v>
      </c>
      <c r="F31" s="1" t="s">
        <v>34</v>
      </c>
      <c r="G31" s="1"/>
      <c r="H31" s="1">
        <v>1993.0</v>
      </c>
      <c r="I31" s="1" t="s">
        <v>103</v>
      </c>
      <c r="J31" s="1" t="s">
        <v>125</v>
      </c>
      <c r="K31" s="4" t="s">
        <v>126</v>
      </c>
      <c r="L31" s="1" t="s">
        <v>22</v>
      </c>
      <c r="N31" s="1" t="s">
        <v>23</v>
      </c>
    </row>
    <row r="32" hidden="1">
      <c r="A32" s="1">
        <v>1380.0</v>
      </c>
      <c r="B32" s="2" t="s">
        <v>127</v>
      </c>
      <c r="C32" s="2"/>
      <c r="D32" s="1" t="s">
        <v>100</v>
      </c>
      <c r="E32" s="1" t="s">
        <v>101</v>
      </c>
      <c r="F32" s="1" t="s">
        <v>34</v>
      </c>
      <c r="G32" s="1"/>
      <c r="H32" s="1">
        <v>1993.0</v>
      </c>
      <c r="I32" s="1" t="s">
        <v>24</v>
      </c>
      <c r="J32" s="1" t="s">
        <v>128</v>
      </c>
      <c r="K32" s="4" t="s">
        <v>129</v>
      </c>
      <c r="L32" s="1" t="s">
        <v>22</v>
      </c>
      <c r="N32" s="1" t="s">
        <v>23</v>
      </c>
    </row>
    <row r="33" hidden="1">
      <c r="A33" s="1">
        <v>1381.0</v>
      </c>
      <c r="B33" s="10" t="s">
        <v>130</v>
      </c>
      <c r="C33" s="2" t="str">
        <f>IFERROR(__xludf.DUMMYFUNCTION("GOOGLETRANSLATE(B33)"),"Energy Sources Law, 1989")</f>
        <v>Energy Sources Law, 1989</v>
      </c>
      <c r="D33" s="1" t="s">
        <v>100</v>
      </c>
      <c r="E33" s="1" t="s">
        <v>101</v>
      </c>
      <c r="F33" s="1" t="s">
        <v>41</v>
      </c>
      <c r="G33" s="1"/>
      <c r="H33" s="1">
        <v>1989.0</v>
      </c>
      <c r="I33" s="1" t="s">
        <v>103</v>
      </c>
      <c r="J33" s="1" t="s">
        <v>131</v>
      </c>
      <c r="K33" s="4" t="s">
        <v>132</v>
      </c>
      <c r="L33" s="1" t="s">
        <v>22</v>
      </c>
      <c r="N33" s="1" t="s">
        <v>23</v>
      </c>
    </row>
    <row r="34" hidden="1">
      <c r="A34" s="1">
        <v>1381.0</v>
      </c>
      <c r="B34" s="2" t="s">
        <v>133</v>
      </c>
      <c r="C34" s="2"/>
      <c r="D34" s="1" t="s">
        <v>100</v>
      </c>
      <c r="E34" s="1" t="s">
        <v>101</v>
      </c>
      <c r="F34" s="1" t="s">
        <v>41</v>
      </c>
      <c r="G34" s="1"/>
      <c r="H34" s="1">
        <v>1989.0</v>
      </c>
      <c r="I34" s="1" t="s">
        <v>24</v>
      </c>
      <c r="J34" s="1" t="s">
        <v>134</v>
      </c>
      <c r="K34" s="4" t="s">
        <v>135</v>
      </c>
      <c r="L34" s="1" t="s">
        <v>22</v>
      </c>
      <c r="N34" s="1" t="s">
        <v>23</v>
      </c>
    </row>
    <row r="35" hidden="1">
      <c r="A35" s="1">
        <v>10248.0</v>
      </c>
      <c r="B35" s="13" t="s">
        <v>136</v>
      </c>
      <c r="C35" s="8" t="str">
        <f>IFERROR(__xludf.DUMMYFUNCTION("GOOGLETRANSLATE(B35)"),"Decision 171 of the government dated 25.07.2021")</f>
        <v>Decision 171 of the government dated 25.07.2021</v>
      </c>
      <c r="D35" s="1" t="s">
        <v>100</v>
      </c>
      <c r="E35" s="1" t="s">
        <v>101</v>
      </c>
      <c r="F35" s="9" t="s">
        <v>137</v>
      </c>
      <c r="G35" s="1"/>
      <c r="H35" s="1">
        <v>2021.0</v>
      </c>
      <c r="I35" s="1" t="s">
        <v>103</v>
      </c>
      <c r="J35" s="1" t="s">
        <v>138</v>
      </c>
      <c r="K35" s="4" t="s">
        <v>139</v>
      </c>
      <c r="L35" s="1" t="s">
        <v>22</v>
      </c>
      <c r="N35" s="1" t="s">
        <v>92</v>
      </c>
    </row>
    <row r="36" hidden="1">
      <c r="A36" s="1">
        <v>10248.0</v>
      </c>
      <c r="B36" s="13" t="s">
        <v>140</v>
      </c>
      <c r="C36" s="8" t="str">
        <f>IFERROR(__xludf.DUMMYFUNCTION("GOOGLETRANSLATE(B36)"),"Decision No. 542 of the government dated 20.09.2015")</f>
        <v>Decision No. 542 of the government dated 20.09.2015</v>
      </c>
      <c r="D36" s="1" t="s">
        <v>100</v>
      </c>
      <c r="E36" s="1" t="s">
        <v>101</v>
      </c>
      <c r="F36" s="9" t="s">
        <v>137</v>
      </c>
      <c r="G36" s="1"/>
      <c r="H36" s="1">
        <v>2015.0</v>
      </c>
      <c r="I36" s="1" t="s">
        <v>103</v>
      </c>
      <c r="J36" s="1" t="s">
        <v>141</v>
      </c>
      <c r="K36" s="4" t="s">
        <v>142</v>
      </c>
      <c r="L36" s="1" t="s">
        <v>22</v>
      </c>
      <c r="N36" s="1" t="s">
        <v>92</v>
      </c>
    </row>
    <row r="37" hidden="1">
      <c r="A37" s="1">
        <v>10251.0</v>
      </c>
      <c r="B37" s="14" t="s">
        <v>143</v>
      </c>
      <c r="C37" s="2" t="str">
        <f>IFERROR(__xludf.DUMMYFUNCTION("GOOGLETRANSLATE(B37)"),"2030 waste strategy, circular economy 2050")</f>
        <v>2030 waste strategy, circular economy 2050</v>
      </c>
      <c r="D37" s="1" t="s">
        <v>100</v>
      </c>
      <c r="E37" s="1" t="s">
        <v>101</v>
      </c>
      <c r="F37" s="1" t="s">
        <v>144</v>
      </c>
      <c r="G37" s="3"/>
      <c r="H37" s="3"/>
      <c r="I37" s="1" t="s">
        <v>103</v>
      </c>
      <c r="J37" s="1" t="s">
        <v>145</v>
      </c>
      <c r="K37" s="4" t="s">
        <v>146</v>
      </c>
      <c r="L37" s="1" t="s">
        <v>22</v>
      </c>
      <c r="N37" s="1" t="s">
        <v>92</v>
      </c>
    </row>
    <row r="38" hidden="1">
      <c r="A38" s="1">
        <v>10251.0</v>
      </c>
      <c r="B38" s="15" t="s">
        <v>147</v>
      </c>
      <c r="C38" s="2"/>
      <c r="D38" s="1" t="s">
        <v>100</v>
      </c>
      <c r="E38" s="1" t="s">
        <v>101</v>
      </c>
      <c r="F38" s="9" t="s">
        <v>89</v>
      </c>
      <c r="G38" s="1"/>
      <c r="H38" s="1">
        <v>2021.0</v>
      </c>
      <c r="I38" s="1" t="s">
        <v>24</v>
      </c>
      <c r="J38" s="1" t="s">
        <v>148</v>
      </c>
      <c r="K38" s="4" t="s">
        <v>149</v>
      </c>
      <c r="L38" s="1" t="s">
        <v>22</v>
      </c>
      <c r="N38" s="1" t="s">
        <v>92</v>
      </c>
    </row>
    <row r="39" hidden="1">
      <c r="A39" s="1">
        <v>1385.0</v>
      </c>
      <c r="B39" s="2" t="s">
        <v>150</v>
      </c>
      <c r="C39" s="2" t="str">
        <f>IFERROR(__xludf.DUMMYFUNCTION("GOOGLETRANSLATE(B39)"),"National energy strategy: for a more competitive and sustainable energy")</f>
        <v>National energy strategy: for a more competitive and sustainable energy</v>
      </c>
      <c r="D39" s="1" t="s">
        <v>151</v>
      </c>
      <c r="E39" s="1" t="s">
        <v>152</v>
      </c>
      <c r="F39" s="1" t="s">
        <v>144</v>
      </c>
      <c r="G39" s="1"/>
      <c r="H39" s="1">
        <v>2013.0</v>
      </c>
      <c r="I39" s="1" t="s">
        <v>153</v>
      </c>
      <c r="J39" s="1" t="s">
        <v>154</v>
      </c>
      <c r="K39" s="4" t="s">
        <v>155</v>
      </c>
      <c r="L39" s="1" t="s">
        <v>22</v>
      </c>
      <c r="N39" s="1" t="s">
        <v>23</v>
      </c>
    </row>
    <row r="40" hidden="1">
      <c r="A40" s="1">
        <v>1385.0</v>
      </c>
      <c r="B40" s="2" t="s">
        <v>156</v>
      </c>
      <c r="C40" s="2"/>
      <c r="D40" s="1" t="s">
        <v>151</v>
      </c>
      <c r="E40" s="1" t="s">
        <v>152</v>
      </c>
      <c r="F40" s="1" t="s">
        <v>144</v>
      </c>
      <c r="G40" s="1"/>
      <c r="H40" s="1">
        <v>2013.0</v>
      </c>
      <c r="I40" s="1" t="s">
        <v>24</v>
      </c>
      <c r="J40" s="1" t="s">
        <v>157</v>
      </c>
      <c r="K40" s="4" t="s">
        <v>158</v>
      </c>
      <c r="L40" s="1" t="s">
        <v>22</v>
      </c>
      <c r="N40" s="1" t="s">
        <v>23</v>
      </c>
    </row>
    <row r="41" hidden="1">
      <c r="A41" s="1">
        <v>1385.0</v>
      </c>
      <c r="B41" s="2" t="s">
        <v>159</v>
      </c>
      <c r="C41" s="2"/>
      <c r="D41" s="1" t="s">
        <v>151</v>
      </c>
      <c r="E41" s="1" t="s">
        <v>152</v>
      </c>
      <c r="F41" s="1" t="s">
        <v>144</v>
      </c>
      <c r="G41" s="1"/>
      <c r="H41" s="1">
        <v>2017.0</v>
      </c>
      <c r="I41" s="1" t="s">
        <v>24</v>
      </c>
      <c r="J41" s="1" t="s">
        <v>160</v>
      </c>
      <c r="K41" s="4" t="s">
        <v>161</v>
      </c>
      <c r="L41" s="1" t="s">
        <v>22</v>
      </c>
      <c r="N41" s="1" t="s">
        <v>23</v>
      </c>
    </row>
    <row r="42" hidden="1">
      <c r="A42" s="1">
        <v>1391.0</v>
      </c>
      <c r="B42" s="2" t="s">
        <v>162</v>
      </c>
      <c r="C42" s="2" t="str">
        <f>IFERROR(__xludf.DUMMYFUNCTION("GOOGLETRANSLATE(B42)"),"Provisions for the formation of the annual and multi -year budget of the State (2008 Financial Law)")</f>
        <v>Provisions for the formation of the annual and multi -year budget of the State (2008 Financial Law)</v>
      </c>
      <c r="D42" s="1" t="s">
        <v>151</v>
      </c>
      <c r="E42" s="1" t="s">
        <v>152</v>
      </c>
      <c r="F42" s="1" t="s">
        <v>41</v>
      </c>
      <c r="G42" s="1"/>
      <c r="H42" s="1">
        <v>2008.0</v>
      </c>
      <c r="I42" s="1" t="s">
        <v>153</v>
      </c>
      <c r="J42" s="1" t="s">
        <v>163</v>
      </c>
      <c r="K42" s="4" t="s">
        <v>164</v>
      </c>
      <c r="L42" s="1" t="s">
        <v>22</v>
      </c>
      <c r="N42" s="1" t="s">
        <v>23</v>
      </c>
    </row>
    <row r="43" hidden="1">
      <c r="A43" s="1">
        <v>1391.0</v>
      </c>
      <c r="B43" s="2" t="s">
        <v>165</v>
      </c>
      <c r="C43" s="2" t="str">
        <f>IFERROR(__xludf.DUMMYFUNCTION("GOOGLETRANSLATE(B43)"),"Law 29 November 2007, n. 222 ""conversion into law, with modifications, of the decree-law 1 October 2007, n. 159, containing urgent interventions in economic-financial matters, for development and social equity""")</f>
        <v>Law 29 November 2007, n. 222 "conversion into law, with modifications, of the decree-law 1 October 2007, n. 159, containing urgent interventions in economic-financial matters, for development and social equity"</v>
      </c>
      <c r="D43" s="1" t="s">
        <v>151</v>
      </c>
      <c r="E43" s="1" t="s">
        <v>152</v>
      </c>
      <c r="F43" s="1" t="s">
        <v>41</v>
      </c>
      <c r="G43" s="1"/>
      <c r="H43" s="1">
        <v>2007.0</v>
      </c>
      <c r="I43" s="1" t="s">
        <v>153</v>
      </c>
      <c r="J43" s="1" t="s">
        <v>166</v>
      </c>
      <c r="K43" s="4" t="s">
        <v>167</v>
      </c>
      <c r="L43" s="1" t="s">
        <v>22</v>
      </c>
      <c r="N43" s="1" t="s">
        <v>23</v>
      </c>
    </row>
    <row r="44" hidden="1">
      <c r="A44" s="1">
        <v>1391.0</v>
      </c>
      <c r="B44" s="2" t="s">
        <v>168</v>
      </c>
      <c r="C44" s="2" t="str">
        <f>IFERROR(__xludf.DUMMYFUNCTION("GOOGLETRANSLATE(B44)"),"Decree 18 December 2008 Incentive of the production of electricity from renewable sources, pursuant to article 2, paragraph 150, of the law of 24 December 2007, n. 244.")</f>
        <v>Decree 18 December 2008 Incentive of the production of electricity from renewable sources, pursuant to article 2, paragraph 150, of the law of 24 December 2007, n. 244.</v>
      </c>
      <c r="D44" s="1" t="s">
        <v>151</v>
      </c>
      <c r="E44" s="1" t="s">
        <v>152</v>
      </c>
      <c r="F44" s="1" t="s">
        <v>18</v>
      </c>
      <c r="G44" s="1"/>
      <c r="H44" s="1">
        <v>2008.0</v>
      </c>
      <c r="I44" s="1" t="s">
        <v>153</v>
      </c>
      <c r="J44" s="1" t="s">
        <v>169</v>
      </c>
      <c r="K44" s="4" t="s">
        <v>170</v>
      </c>
      <c r="L44" s="1" t="s">
        <v>22</v>
      </c>
      <c r="N44" s="1" t="s">
        <v>23</v>
      </c>
    </row>
    <row r="45" hidden="1">
      <c r="A45" s="1">
        <v>1391.0</v>
      </c>
      <c r="B45" s="2" t="s">
        <v>171</v>
      </c>
      <c r="C45" s="2" t="str">
        <f>IFERROR(__xludf.DUMMYFUNCTION("GOOGLETRANSLATE(B45)"),"Law 23 July 2009, n. 99 ""Provisions for the development and internationalization of businesses, as well as on energy""")</f>
        <v>Law 23 July 2009, n. 99 "Provisions for the development and internationalization of businesses, as well as on energy"</v>
      </c>
      <c r="D45" s="1" t="s">
        <v>151</v>
      </c>
      <c r="E45" s="1" t="s">
        <v>152</v>
      </c>
      <c r="F45" s="1" t="s">
        <v>41</v>
      </c>
      <c r="G45" s="1"/>
      <c r="H45" s="1">
        <v>2009.0</v>
      </c>
      <c r="I45" s="1" t="s">
        <v>153</v>
      </c>
      <c r="J45" s="1" t="s">
        <v>172</v>
      </c>
      <c r="K45" s="4" t="s">
        <v>173</v>
      </c>
      <c r="L45" s="1" t="s">
        <v>22</v>
      </c>
      <c r="N45" s="1" t="s">
        <v>23</v>
      </c>
    </row>
    <row r="46" hidden="1">
      <c r="A46" s="1">
        <v>1393.0</v>
      </c>
      <c r="B46" s="1" t="s">
        <v>174</v>
      </c>
      <c r="C46" s="2" t="str">
        <f>IFERROR(__xludf.DUMMYFUNCTION("GOOGLETRANSLATE(B46)"),"Law of 23 December 2000, n. 388 ""Provisions for the formation of the annual and multi -year budget of the State (financial law 2001)""")</f>
        <v>Law of 23 December 2000, n. 388 "Provisions for the formation of the annual and multi -year budget of the State (financial law 2001)"</v>
      </c>
      <c r="D46" s="1" t="s">
        <v>151</v>
      </c>
      <c r="E46" s="1" t="s">
        <v>152</v>
      </c>
      <c r="F46" s="1" t="s">
        <v>41</v>
      </c>
      <c r="G46" s="1"/>
      <c r="H46" s="1">
        <v>2000.0</v>
      </c>
      <c r="I46" s="1" t="s">
        <v>153</v>
      </c>
      <c r="J46" s="1" t="s">
        <v>175</v>
      </c>
      <c r="K46" s="4" t="s">
        <v>176</v>
      </c>
      <c r="L46" s="1" t="s">
        <v>22</v>
      </c>
      <c r="N46" s="1" t="s">
        <v>23</v>
      </c>
    </row>
    <row r="47" hidden="1">
      <c r="A47" s="1">
        <v>1393.0</v>
      </c>
      <c r="B47" s="2" t="s">
        <v>177</v>
      </c>
      <c r="C47" s="2" t="str">
        <f>IFERROR(__xludf.DUMMYFUNCTION("GOOGLETRANSLATE(B47)"),"Law 27 December 2006, n. 296 ""Provisions for the formation of the annual and multi -year budget of the State (financial law 2007)""")</f>
        <v>Law 27 December 2006, n. 296 "Provisions for the formation of the annual and multi -year budget of the State (financial law 2007)"</v>
      </c>
      <c r="D47" s="1" t="s">
        <v>151</v>
      </c>
      <c r="E47" s="1" t="s">
        <v>152</v>
      </c>
      <c r="F47" s="1" t="s">
        <v>41</v>
      </c>
      <c r="G47" s="1"/>
      <c r="H47" s="1">
        <v>2006.0</v>
      </c>
      <c r="I47" s="1" t="s">
        <v>153</v>
      </c>
      <c r="J47" s="1" t="s">
        <v>178</v>
      </c>
      <c r="K47" s="4" t="s">
        <v>179</v>
      </c>
      <c r="L47" s="1" t="s">
        <v>22</v>
      </c>
      <c r="N47" s="1" t="s">
        <v>23</v>
      </c>
    </row>
    <row r="48" hidden="1">
      <c r="A48" s="1">
        <v>1393.0</v>
      </c>
      <c r="B48" s="2" t="s">
        <v>180</v>
      </c>
      <c r="C48" s="2" t="str">
        <f>IFERROR(__xludf.DUMMYFUNCTION("GOOGLETRANSLATE(B48)"),"Law of 23 December 2009, n. 191. Provisions for the formation of the annual and multi -year budget of the state (financial law 2010)")</f>
        <v>Law of 23 December 2009, n. 191. Provisions for the formation of the annual and multi -year budget of the state (financial law 2010)</v>
      </c>
      <c r="D48" s="1" t="s">
        <v>151</v>
      </c>
      <c r="E48" s="1" t="s">
        <v>152</v>
      </c>
      <c r="F48" s="1" t="s">
        <v>41</v>
      </c>
      <c r="G48" s="1"/>
      <c r="H48" s="1">
        <v>2009.0</v>
      </c>
      <c r="I48" s="1" t="s">
        <v>153</v>
      </c>
      <c r="J48" s="1" t="s">
        <v>181</v>
      </c>
      <c r="K48" s="4" t="s">
        <v>182</v>
      </c>
      <c r="L48" s="1" t="s">
        <v>22</v>
      </c>
      <c r="N48" s="1" t="s">
        <v>23</v>
      </c>
    </row>
    <row r="49" hidden="1">
      <c r="A49" s="1">
        <v>1393.0</v>
      </c>
      <c r="B49" s="2" t="s">
        <v>183</v>
      </c>
      <c r="C49" s="2" t="str">
        <f>IFERROR(__xludf.DUMMYFUNCTION("GOOGLETRANSLATE(B49)"),"Law 27 December 2017, n. 205 State forecast budget for the 2018 financial year and multi-year budget for the three-year period 2018-2020. (17G00222)")</f>
        <v>Law 27 December 2017, n. 205 State forecast budget for the 2018 financial year and multi-year budget for the three-year period 2018-2020. (17G00222)</v>
      </c>
      <c r="D49" s="1" t="s">
        <v>151</v>
      </c>
      <c r="E49" s="1" t="s">
        <v>152</v>
      </c>
      <c r="F49" s="1" t="s">
        <v>41</v>
      </c>
      <c r="G49" s="1"/>
      <c r="H49" s="1">
        <v>2017.0</v>
      </c>
      <c r="I49" s="1" t="s">
        <v>153</v>
      </c>
      <c r="J49" s="1" t="s">
        <v>184</v>
      </c>
      <c r="K49" s="4" t="s">
        <v>185</v>
      </c>
      <c r="L49" s="1" t="s">
        <v>22</v>
      </c>
      <c r="N49" s="1" t="s">
        <v>23</v>
      </c>
    </row>
    <row r="50" hidden="1">
      <c r="A50" s="1">
        <v>1394.0</v>
      </c>
      <c r="B50" s="2" t="s">
        <v>186</v>
      </c>
      <c r="C50" s="2" t="str">
        <f>IFERROR(__xludf.DUMMYFUNCTION("GOOGLETRANSLATE(B50)"),"Criteria and methods to encourage the production of electricity by photovoltaic conversion of the sun source, in implementation of article 7 of Legislative Decree 29 December 2003, n. 387.")</f>
        <v>Criteria and methods to encourage the production of electricity by photovoltaic conversion of the sun source, in implementation of article 7 of Legislative Decree 29 December 2003, n. 387.</v>
      </c>
      <c r="D50" s="1" t="s">
        <v>151</v>
      </c>
      <c r="E50" s="1" t="s">
        <v>152</v>
      </c>
      <c r="F50" s="9" t="s">
        <v>187</v>
      </c>
      <c r="G50" s="1"/>
      <c r="H50" s="1">
        <v>2007.0</v>
      </c>
      <c r="I50" s="1" t="s">
        <v>153</v>
      </c>
      <c r="J50" s="1" t="s">
        <v>188</v>
      </c>
      <c r="K50" s="4" t="s">
        <v>189</v>
      </c>
      <c r="L50" s="1" t="s">
        <v>22</v>
      </c>
      <c r="N50" s="1" t="s">
        <v>23</v>
      </c>
    </row>
    <row r="51" hidden="1">
      <c r="A51" s="9">
        <v>1394.0</v>
      </c>
      <c r="B51" s="5"/>
      <c r="C51" s="8" t="str">
        <f>IFERROR(__xludf.DUMMYFUNCTION("GOOGLETRANSLATE(B51)"),"#VALUE!")</f>
        <v>#VALUE!</v>
      </c>
      <c r="D51" s="7" t="s">
        <v>151</v>
      </c>
      <c r="E51" s="7" t="s">
        <v>152</v>
      </c>
      <c r="F51" s="3"/>
      <c r="G51" s="7"/>
      <c r="H51" s="7">
        <v>2011.0</v>
      </c>
      <c r="I51" s="7" t="s">
        <v>153</v>
      </c>
      <c r="J51" s="7" t="s">
        <v>190</v>
      </c>
      <c r="K51" s="16" t="s">
        <v>191</v>
      </c>
      <c r="L51" s="7" t="s">
        <v>22</v>
      </c>
      <c r="M51" s="17"/>
      <c r="N51" s="7" t="s">
        <v>23</v>
      </c>
      <c r="O51" s="17"/>
      <c r="P51" s="17"/>
      <c r="Q51" s="17"/>
      <c r="R51" s="17"/>
      <c r="S51" s="17"/>
      <c r="T51" s="17"/>
      <c r="U51" s="17"/>
      <c r="V51" s="17"/>
      <c r="W51" s="17"/>
      <c r="X51" s="17"/>
      <c r="Y51" s="17"/>
      <c r="Z51" s="17"/>
      <c r="AA51" s="17"/>
      <c r="AB51" s="17"/>
    </row>
    <row r="52" hidden="1">
      <c r="A52" s="1">
        <v>1397.0</v>
      </c>
      <c r="B52" s="2" t="s">
        <v>192</v>
      </c>
      <c r="C52" s="2" t="str">
        <f>IFERROR(__xludf.DUMMYFUNCTION("GOOGLETRANSLATE(B52)"),"L. 23 August 2004, n. 239 reorganization of the energy sector, as well as delegation to the government for the reorganization of the provisions in force on energy")</f>
        <v>L. 23 August 2004, n. 239 reorganization of the energy sector, as well as delegation to the government for the reorganization of the provisions in force on energy</v>
      </c>
      <c r="D52" s="1" t="s">
        <v>151</v>
      </c>
      <c r="E52" s="1" t="s">
        <v>152</v>
      </c>
      <c r="F52" s="9" t="s">
        <v>41</v>
      </c>
      <c r="G52" s="1"/>
      <c r="H52" s="1">
        <v>2004.0</v>
      </c>
      <c r="I52" s="1" t="s">
        <v>153</v>
      </c>
      <c r="J52" s="1" t="s">
        <v>193</v>
      </c>
      <c r="K52" s="4" t="s">
        <v>194</v>
      </c>
      <c r="L52" s="1" t="s">
        <v>22</v>
      </c>
      <c r="N52" s="1" t="s">
        <v>23</v>
      </c>
    </row>
    <row r="53" hidden="1">
      <c r="A53" s="1">
        <v>1397.0</v>
      </c>
      <c r="B53" s="2" t="s">
        <v>195</v>
      </c>
      <c r="C53" s="2" t="str">
        <f>IFERROR(__xludf.DUMMYFUNCTION("GOOGLETRANSLATE(B53)"),"Law 23 August 2004, n. 239 reorganization of the energy sector, as well as delegation to the government for the reorganization of the provisions in force on energy")</f>
        <v>Law 23 August 2004, n. 239 reorganization of the energy sector, as well as delegation to the government for the reorganization of the provisions in force on energy</v>
      </c>
      <c r="D53" s="1" t="s">
        <v>151</v>
      </c>
      <c r="E53" s="1" t="s">
        <v>152</v>
      </c>
      <c r="F53" s="1" t="s">
        <v>41</v>
      </c>
      <c r="G53" s="1"/>
      <c r="H53" s="1">
        <v>2004.0</v>
      </c>
      <c r="I53" s="1" t="s">
        <v>153</v>
      </c>
      <c r="J53" s="1" t="s">
        <v>196</v>
      </c>
      <c r="K53" s="4" t="s">
        <v>197</v>
      </c>
      <c r="L53" s="1" t="s">
        <v>22</v>
      </c>
      <c r="N53" s="1" t="s">
        <v>23</v>
      </c>
    </row>
    <row r="54" hidden="1">
      <c r="A54" s="1">
        <v>1400.0</v>
      </c>
      <c r="B54" s="2" t="s">
        <v>198</v>
      </c>
      <c r="C54" s="2" t="str">
        <f>IFERROR(__xludf.DUMMYFUNCTION("GOOGLETRANSLATE(B54)"),"CIPE resolution December 19, 2002, n. 123/2002 review of the guidelines for national policies and measures to reduce greenhouse gas emissions (law n. 120/2002)")</f>
        <v>CIPE resolution December 19, 2002, n. 123/2002 review of the guidelines for national policies and measures to reduce greenhouse gas emissions (law n. 120/2002)</v>
      </c>
      <c r="D54" s="1" t="s">
        <v>151</v>
      </c>
      <c r="E54" s="1" t="s">
        <v>152</v>
      </c>
      <c r="F54" s="1" t="s">
        <v>137</v>
      </c>
      <c r="G54" s="1"/>
      <c r="H54" s="1">
        <v>2002.0</v>
      </c>
      <c r="I54" s="1" t="s">
        <v>153</v>
      </c>
      <c r="J54" s="1" t="s">
        <v>199</v>
      </c>
      <c r="K54" s="4" t="s">
        <v>200</v>
      </c>
      <c r="L54" s="1" t="s">
        <v>22</v>
      </c>
      <c r="N54" s="1" t="s">
        <v>23</v>
      </c>
    </row>
    <row r="55" hidden="1">
      <c r="A55" s="1">
        <v>1400.0</v>
      </c>
      <c r="B55" s="2" t="s">
        <v>201</v>
      </c>
      <c r="C55" s="2" t="str">
        <f>IFERROR(__xludf.DUMMYFUNCTION("GOOGLETRANSLATE(B55)"),"Resolution 11 December 2007 Update of the CIPE resolution no. 123/2002 containing ""revision of the guidelines for national policies and measures to reduce gas-southern emissions"". (Resolution no. 135/2007).")</f>
        <v>Resolution 11 December 2007 Update of the CIPE resolution no. 123/2002 containing "revision of the guidelines for national policies and measures to reduce gas-southern emissions". (Resolution no. 135/2007).</v>
      </c>
      <c r="D55" s="1" t="s">
        <v>151</v>
      </c>
      <c r="E55" s="1" t="s">
        <v>152</v>
      </c>
      <c r="F55" s="1" t="s">
        <v>137</v>
      </c>
      <c r="G55" s="1"/>
      <c r="H55" s="1">
        <v>2007.0</v>
      </c>
      <c r="I55" s="1" t="s">
        <v>153</v>
      </c>
      <c r="J55" s="1" t="s">
        <v>202</v>
      </c>
      <c r="K55" s="4" t="s">
        <v>203</v>
      </c>
      <c r="L55" s="1" t="s">
        <v>22</v>
      </c>
      <c r="N55" s="1" t="s">
        <v>23</v>
      </c>
    </row>
    <row r="56" hidden="1">
      <c r="A56" s="1">
        <v>2004.0</v>
      </c>
      <c r="B56" s="8"/>
      <c r="C56" s="2" t="str">
        <f>IFERROR(__xludf.DUMMYFUNCTION("GOOGLETRANSLATE(B56)"),"#VALUE!")</f>
        <v>#VALUE!</v>
      </c>
      <c r="D56" s="1" t="s">
        <v>151</v>
      </c>
      <c r="E56" s="1" t="s">
        <v>152</v>
      </c>
      <c r="F56" s="1" t="s">
        <v>18</v>
      </c>
      <c r="G56" s="1"/>
      <c r="H56" s="1">
        <v>1994.0</v>
      </c>
      <c r="I56" s="1" t="s">
        <v>153</v>
      </c>
      <c r="J56" s="1" t="s">
        <v>204</v>
      </c>
      <c r="K56" s="4" t="s">
        <v>205</v>
      </c>
      <c r="L56" s="1" t="s">
        <v>22</v>
      </c>
      <c r="N56" s="1" t="s">
        <v>37</v>
      </c>
    </row>
    <row r="57" hidden="1">
      <c r="A57" s="1">
        <v>2004.0</v>
      </c>
      <c r="B57" s="1" t="s">
        <v>206</v>
      </c>
      <c r="C57" s="18" t="s">
        <v>207</v>
      </c>
      <c r="D57" s="1" t="s">
        <v>151</v>
      </c>
      <c r="E57" s="1" t="s">
        <v>152</v>
      </c>
      <c r="F57" s="1" t="s">
        <v>144</v>
      </c>
      <c r="G57" s="3"/>
      <c r="H57" s="3"/>
      <c r="I57" s="1" t="s">
        <v>153</v>
      </c>
      <c r="J57" s="1" t="s">
        <v>208</v>
      </c>
      <c r="K57" s="4" t="s">
        <v>209</v>
      </c>
      <c r="L57" s="1" t="s">
        <v>22</v>
      </c>
      <c r="N57" s="1" t="s">
        <v>37</v>
      </c>
    </row>
    <row r="58" hidden="1">
      <c r="A58" s="1">
        <v>2044.0</v>
      </c>
      <c r="B58" s="5"/>
      <c r="C58" s="2" t="str">
        <f>IFERROR(__xludf.DUMMYFUNCTION("GOOGLETRANSLATE(B58)"),"#VALUE!")</f>
        <v>#VALUE!</v>
      </c>
      <c r="D58" s="1" t="s">
        <v>151</v>
      </c>
      <c r="E58" s="1" t="s">
        <v>152</v>
      </c>
      <c r="F58" s="1" t="s">
        <v>18</v>
      </c>
      <c r="G58" s="3"/>
      <c r="H58" s="3"/>
      <c r="I58" s="1" t="s">
        <v>153</v>
      </c>
      <c r="J58" s="1" t="s">
        <v>210</v>
      </c>
      <c r="K58" s="4" t="s">
        <v>211</v>
      </c>
      <c r="L58" s="1" t="s">
        <v>22</v>
      </c>
      <c r="N58" s="1" t="s">
        <v>23</v>
      </c>
    </row>
    <row r="59" hidden="1">
      <c r="A59" s="1">
        <v>2044.0</v>
      </c>
      <c r="B59" s="5"/>
      <c r="C59" s="2" t="str">
        <f>IFERROR(__xludf.DUMMYFUNCTION("GOOGLETRANSLATE(B59)"),"#VALUE!")</f>
        <v>#VALUE!</v>
      </c>
      <c r="D59" s="1" t="s">
        <v>151</v>
      </c>
      <c r="E59" s="1" t="s">
        <v>152</v>
      </c>
      <c r="F59" s="3"/>
      <c r="G59" s="1"/>
      <c r="H59" s="1">
        <v>2019.0</v>
      </c>
      <c r="I59" s="1" t="s">
        <v>153</v>
      </c>
      <c r="J59" s="1" t="s">
        <v>212</v>
      </c>
      <c r="K59" s="4" t="s">
        <v>213</v>
      </c>
      <c r="L59" s="1" t="s">
        <v>22</v>
      </c>
      <c r="N59" s="1" t="s">
        <v>23</v>
      </c>
    </row>
    <row r="60" hidden="1">
      <c r="A60" s="1">
        <v>9436.0</v>
      </c>
      <c r="B60" s="5"/>
      <c r="C60" s="8" t="str">
        <f>IFERROR(__xludf.DUMMYFUNCTION("GOOGLETRANSLATE(B60)"),"#VALUE!")</f>
        <v>#VALUE!</v>
      </c>
      <c r="D60" s="1" t="s">
        <v>151</v>
      </c>
      <c r="E60" s="1" t="s">
        <v>152</v>
      </c>
      <c r="F60" s="3"/>
      <c r="G60" s="3"/>
      <c r="H60" s="3"/>
      <c r="I60" s="1" t="s">
        <v>153</v>
      </c>
      <c r="J60" s="1" t="s">
        <v>214</v>
      </c>
      <c r="K60" s="4" t="s">
        <v>215</v>
      </c>
      <c r="L60" s="1" t="s">
        <v>22</v>
      </c>
      <c r="N60" s="1" t="s">
        <v>92</v>
      </c>
    </row>
    <row r="61" hidden="1">
      <c r="A61" s="19">
        <v>9436.0</v>
      </c>
      <c r="B61" s="20" t="s">
        <v>216</v>
      </c>
      <c r="C61" s="20" t="str">
        <f>IFERROR(__xludf.DUMMYFUNCTION("GOOGLETRANSLATE(B61)"),"Decree-law 19 May 2020, n. 34.: Urgent measures on health, support for work and economy, as well as social policies connected to the epidemiological emergency by Covid-19")</f>
        <v>Decree-law 19 May 2020, n. 34.: Urgent measures on health, support for work and economy, as well as social policies connected to the epidemiological emergency by Covid-19</v>
      </c>
      <c r="D61" s="19" t="s">
        <v>151</v>
      </c>
      <c r="E61" s="19" t="s">
        <v>152</v>
      </c>
      <c r="F61" s="19" t="s">
        <v>217</v>
      </c>
      <c r="G61" s="19"/>
      <c r="H61" s="19">
        <v>2020.0</v>
      </c>
      <c r="I61" s="19" t="s">
        <v>153</v>
      </c>
      <c r="J61" s="19" t="s">
        <v>218</v>
      </c>
      <c r="K61" s="21" t="s">
        <v>219</v>
      </c>
      <c r="L61" s="19" t="s">
        <v>22</v>
      </c>
      <c r="M61" s="22"/>
      <c r="N61" s="19" t="s">
        <v>23</v>
      </c>
      <c r="O61" s="22"/>
      <c r="P61" s="22"/>
      <c r="Q61" s="22"/>
      <c r="R61" s="22"/>
      <c r="S61" s="22"/>
      <c r="T61" s="22"/>
      <c r="U61" s="22"/>
      <c r="V61" s="22"/>
      <c r="W61" s="22"/>
      <c r="X61" s="22"/>
      <c r="Y61" s="22"/>
      <c r="Z61" s="22"/>
      <c r="AA61" s="22"/>
      <c r="AB61" s="22"/>
    </row>
    <row r="62" hidden="1">
      <c r="A62" s="1">
        <v>9436.0</v>
      </c>
      <c r="B62" s="2" t="s">
        <v>220</v>
      </c>
      <c r="C62" s="2" t="str">
        <f>IFERROR(__xludf.DUMMYFUNCTION("GOOGLETRANSLATE(B62)"),"Decree-law containing urgent measures on health, support for work and economy, as well as social policies, connected to the epidemiological emergency by Covid-19")</f>
        <v>Decree-law containing urgent measures on health, support for work and economy, as well as social policies, connected to the epidemiological emergency by Covid-19</v>
      </c>
      <c r="D62" s="1" t="s">
        <v>151</v>
      </c>
      <c r="E62" s="1" t="s">
        <v>152</v>
      </c>
      <c r="F62" s="1" t="s">
        <v>217</v>
      </c>
      <c r="G62" s="1"/>
      <c r="H62" s="1">
        <v>2020.0</v>
      </c>
      <c r="I62" s="1" t="s">
        <v>153</v>
      </c>
      <c r="J62" s="1" t="s">
        <v>221</v>
      </c>
      <c r="K62" s="4" t="s">
        <v>222</v>
      </c>
      <c r="L62" s="1" t="s">
        <v>22</v>
      </c>
      <c r="N62" s="1" t="s">
        <v>23</v>
      </c>
    </row>
    <row r="63" hidden="1">
      <c r="A63" s="1">
        <v>9436.0</v>
      </c>
      <c r="B63" s="2" t="s">
        <v>223</v>
      </c>
      <c r="C63" s="2" t="str">
        <f>IFERROR(__xludf.DUMMYFUNCTION("GOOGLETRANSLATE(B63)"),"Superbonus 110%, guide and documents")</f>
        <v>Superbonus 110%, guide and documents</v>
      </c>
      <c r="D63" s="1" t="s">
        <v>151</v>
      </c>
      <c r="E63" s="1" t="s">
        <v>152</v>
      </c>
      <c r="F63" s="1" t="s">
        <v>217</v>
      </c>
      <c r="G63" s="1"/>
      <c r="H63" s="1">
        <v>2020.0</v>
      </c>
      <c r="I63" s="1" t="s">
        <v>153</v>
      </c>
      <c r="J63" s="1" t="s">
        <v>224</v>
      </c>
      <c r="K63" s="4" t="s">
        <v>225</v>
      </c>
      <c r="L63" s="1" t="s">
        <v>22</v>
      </c>
      <c r="N63" s="1" t="s">
        <v>92</v>
      </c>
    </row>
    <row r="64">
      <c r="A64" s="1">
        <v>9436.0</v>
      </c>
      <c r="B64" s="2" t="s">
        <v>226</v>
      </c>
      <c r="C64" s="2" t="str">
        <f>IFERROR(__xludf.DUMMYFUNCTION("GOOGLETRANSLATE(B64)"),"Conversion into law, with modifications, of the decree-law of 19 May 2020, n. 34, containing urgent measures on health, support for work and economy, as well as social policies connected with the epidemiological emergency by Covid-19.")</f>
        <v>Conversion into law, with modifications, of the decree-law of 19 May 2020, n. 34, containing urgent measures on health, support for work and economy, as well as social policies connected with the epidemiological emergency by Covid-19.</v>
      </c>
      <c r="D64" s="1" t="s">
        <v>151</v>
      </c>
      <c r="E64" s="1" t="s">
        <v>152</v>
      </c>
      <c r="F64" s="3"/>
      <c r="G64" s="1" t="s">
        <v>217</v>
      </c>
      <c r="H64" s="1">
        <v>2020.0</v>
      </c>
      <c r="I64" s="1" t="s">
        <v>153</v>
      </c>
      <c r="J64" s="1" t="s">
        <v>227</v>
      </c>
      <c r="K64" s="4" t="s">
        <v>228</v>
      </c>
      <c r="L64" s="1" t="s">
        <v>22</v>
      </c>
      <c r="N64" s="1" t="s">
        <v>229</v>
      </c>
    </row>
    <row r="65" hidden="1">
      <c r="A65" s="1">
        <v>9436.0</v>
      </c>
      <c r="B65" s="2" t="s">
        <v>230</v>
      </c>
      <c r="C65" s="2" t="str">
        <f>IFERROR(__xludf.DUMMYFUNCTION("GOOGLETRANSLATE(B65)"),"Decree-law 11 November 2021, n. 157: urgent measures for contrasting fraud in the sector of tax and economic concessions")</f>
        <v>Decree-law 11 November 2021, n. 157: urgent measures for contrasting fraud in the sector of tax and economic concessions</v>
      </c>
      <c r="D65" s="1" t="s">
        <v>151</v>
      </c>
      <c r="E65" s="1" t="s">
        <v>152</v>
      </c>
      <c r="F65" s="1" t="s">
        <v>217</v>
      </c>
      <c r="G65" s="1"/>
      <c r="H65" s="1">
        <v>2021.0</v>
      </c>
      <c r="I65" s="1" t="s">
        <v>153</v>
      </c>
      <c r="J65" s="1" t="s">
        <v>231</v>
      </c>
      <c r="K65" s="4" t="s">
        <v>232</v>
      </c>
      <c r="L65" s="1" t="s">
        <v>22</v>
      </c>
      <c r="N65" s="1" t="s">
        <v>229</v>
      </c>
    </row>
    <row r="66" hidden="1">
      <c r="A66" s="1">
        <v>9506.0</v>
      </c>
      <c r="B66" s="2" t="s">
        <v>233</v>
      </c>
      <c r="C66" s="2" t="str">
        <f>IFERROR(__xludf.DUMMYFUNCTION("GOOGLETRANSLATE(B66)"),"INTEGRATED NATIONAL ENERGY AND CLIMATE PLAN")</f>
        <v>INTEGRATED NATIONAL ENERGY AND CLIMATE PLAN</v>
      </c>
      <c r="D66" s="1" t="s">
        <v>151</v>
      </c>
      <c r="E66" s="1" t="s">
        <v>152</v>
      </c>
      <c r="F66" s="1" t="s">
        <v>234</v>
      </c>
      <c r="G66" s="1"/>
      <c r="H66" s="1">
        <v>2019.0</v>
      </c>
      <c r="I66" s="1" t="s">
        <v>24</v>
      </c>
      <c r="J66" s="1" t="s">
        <v>235</v>
      </c>
      <c r="K66" s="4" t="s">
        <v>236</v>
      </c>
      <c r="L66" s="1" t="s">
        <v>22</v>
      </c>
      <c r="N66" s="1" t="s">
        <v>23</v>
      </c>
    </row>
    <row r="67" hidden="1">
      <c r="A67" s="1">
        <v>9506.0</v>
      </c>
      <c r="B67" s="2" t="s">
        <v>237</v>
      </c>
      <c r="C67" s="2" t="str">
        <f>IFERROR(__xludf.DUMMYFUNCTION("GOOGLETRANSLATE(B67)"),"Integrated national plan for energy and climate")</f>
        <v>Integrated national plan for energy and climate</v>
      </c>
      <c r="D67" s="1" t="s">
        <v>151</v>
      </c>
      <c r="E67" s="1" t="s">
        <v>152</v>
      </c>
      <c r="F67" s="1" t="s">
        <v>234</v>
      </c>
      <c r="G67" s="1"/>
      <c r="H67" s="1">
        <v>2019.0</v>
      </c>
      <c r="I67" s="1" t="s">
        <v>153</v>
      </c>
      <c r="J67" s="1" t="s">
        <v>238</v>
      </c>
      <c r="K67" s="4" t="s">
        <v>239</v>
      </c>
      <c r="L67" s="1" t="s">
        <v>22</v>
      </c>
      <c r="N67" s="1" t="s">
        <v>23</v>
      </c>
    </row>
    <row r="68" hidden="1">
      <c r="A68" s="1">
        <v>10489.0</v>
      </c>
      <c r="B68" s="2" t="s">
        <v>240</v>
      </c>
      <c r="C68" s="2" t="str">
        <f>IFERROR(__xludf.DUMMYFUNCTION("GOOGLETRANSLATE(B68)"),"National recovery and resilience plan")</f>
        <v>National recovery and resilience plan</v>
      </c>
      <c r="D68" s="1" t="s">
        <v>151</v>
      </c>
      <c r="E68" s="1" t="s">
        <v>152</v>
      </c>
      <c r="F68" s="1" t="s">
        <v>234</v>
      </c>
      <c r="G68" s="1"/>
      <c r="H68" s="1">
        <v>2021.0</v>
      </c>
      <c r="I68" s="1" t="s">
        <v>153</v>
      </c>
      <c r="J68" s="1" t="s">
        <v>241</v>
      </c>
      <c r="K68" s="4" t="s">
        <v>242</v>
      </c>
      <c r="L68" s="1" t="s">
        <v>22</v>
      </c>
      <c r="N68" s="1" t="s">
        <v>23</v>
      </c>
    </row>
    <row r="69" hidden="1">
      <c r="A69" s="1">
        <v>10489.0</v>
      </c>
      <c r="B69" s="2" t="s">
        <v>243</v>
      </c>
      <c r="C69" s="2" t="str">
        <f>IFERROR(__xludf.DUMMYFUNCTION("GOOGLETRANSLATE(B69)"),"Italy’s recovery and resilience plan")</f>
        <v>Italy’s recovery and resilience plan</v>
      </c>
      <c r="D69" s="1" t="s">
        <v>151</v>
      </c>
      <c r="E69" s="1" t="s">
        <v>152</v>
      </c>
      <c r="F69" s="1" t="s">
        <v>234</v>
      </c>
      <c r="G69" s="1"/>
      <c r="H69" s="1">
        <v>2021.0</v>
      </c>
      <c r="I69" s="1" t="s">
        <v>24</v>
      </c>
      <c r="J69" s="4" t="s">
        <v>244</v>
      </c>
      <c r="K69" s="4" t="s">
        <v>245</v>
      </c>
      <c r="L69" s="1" t="s">
        <v>22</v>
      </c>
      <c r="N69" s="1" t="s">
        <v>92</v>
      </c>
    </row>
    <row r="70" hidden="1">
      <c r="A70" s="1">
        <v>10489.0</v>
      </c>
      <c r="B70" s="2" t="s">
        <v>246</v>
      </c>
      <c r="C70" s="2" t="str">
        <f>IFERROR(__xludf.DUMMYFUNCTION("GOOGLETRANSLATE(B70)"),"COUNCIL IMPLEMENTING DECISION on the approval of the assessment of the recovery and resilience plan for Italy")</f>
        <v>COUNCIL IMPLEMENTING DECISION on the approval of the assessment of the recovery and resilience plan for Italy</v>
      </c>
      <c r="D70" s="1" t="s">
        <v>151</v>
      </c>
      <c r="E70" s="1" t="s">
        <v>152</v>
      </c>
      <c r="F70" s="1" t="s">
        <v>247</v>
      </c>
      <c r="G70" s="1"/>
      <c r="H70" s="1">
        <v>2021.0</v>
      </c>
      <c r="I70" s="1" t="s">
        <v>24</v>
      </c>
      <c r="J70" s="1" t="s">
        <v>248</v>
      </c>
      <c r="K70" s="4" t="s">
        <v>249</v>
      </c>
      <c r="L70" s="1" t="s">
        <v>22</v>
      </c>
      <c r="N70" s="1" t="s">
        <v>23</v>
      </c>
    </row>
    <row r="71" hidden="1">
      <c r="A71" s="1">
        <v>1406.0</v>
      </c>
      <c r="B71" s="2" t="s">
        <v>250</v>
      </c>
      <c r="C71" s="2" t="str">
        <f>IFERROR(__xludf.DUMMYFUNCTION("GOOGLETRANSLATE(B71)"),"Vision 2030 Jamaica: National Development Plan")</f>
        <v>Vision 2030 Jamaica: National Development Plan</v>
      </c>
      <c r="D71" s="1" t="s">
        <v>251</v>
      </c>
      <c r="E71" s="1" t="s">
        <v>252</v>
      </c>
      <c r="F71" s="9" t="s">
        <v>253</v>
      </c>
      <c r="G71" s="1"/>
      <c r="H71" s="1">
        <v>2010.0</v>
      </c>
      <c r="I71" s="1" t="s">
        <v>24</v>
      </c>
      <c r="J71" s="1" t="s">
        <v>254</v>
      </c>
      <c r="K71" s="4" t="s">
        <v>255</v>
      </c>
      <c r="L71" s="1" t="s">
        <v>22</v>
      </c>
      <c r="N71" s="1" t="s">
        <v>37</v>
      </c>
    </row>
    <row r="72" hidden="1">
      <c r="A72" s="1">
        <v>1406.0</v>
      </c>
      <c r="B72" s="2" t="s">
        <v>250</v>
      </c>
      <c r="C72" s="2" t="str">
        <f>IFERROR(__xludf.DUMMYFUNCTION("GOOGLETRANSLATE(B72)"),"Vision 2030 Jamaica: National Development Plan")</f>
        <v>Vision 2030 Jamaica: National Development Plan</v>
      </c>
      <c r="D72" s="1" t="s">
        <v>251</v>
      </c>
      <c r="E72" s="1" t="s">
        <v>252</v>
      </c>
      <c r="F72" s="9" t="s">
        <v>253</v>
      </c>
      <c r="G72" s="1"/>
      <c r="H72" s="1">
        <v>2009.0</v>
      </c>
      <c r="I72" s="1" t="s">
        <v>24</v>
      </c>
      <c r="J72" s="1" t="s">
        <v>256</v>
      </c>
      <c r="K72" s="4" t="s">
        <v>257</v>
      </c>
      <c r="L72" s="1" t="s">
        <v>22</v>
      </c>
      <c r="N72" s="1" t="s">
        <v>23</v>
      </c>
    </row>
    <row r="73" hidden="1">
      <c r="A73" s="1">
        <v>2025.0</v>
      </c>
      <c r="B73" s="2" t="s">
        <v>258</v>
      </c>
      <c r="C73" s="2" t="str">
        <f>IFERROR(__xludf.DUMMYFUNCTION("GOOGLETRANSLATE(B73)"),"Climate Change Policy Framework and Action Plan")</f>
        <v>Climate Change Policy Framework and Action Plan</v>
      </c>
      <c r="D73" s="1" t="s">
        <v>251</v>
      </c>
      <c r="E73" s="1" t="s">
        <v>252</v>
      </c>
      <c r="F73" s="1" t="s">
        <v>259</v>
      </c>
      <c r="G73" s="1"/>
      <c r="H73" s="1">
        <v>2013.0</v>
      </c>
      <c r="I73" s="1" t="s">
        <v>24</v>
      </c>
      <c r="J73" s="1" t="s">
        <v>260</v>
      </c>
      <c r="K73" s="4" t="s">
        <v>261</v>
      </c>
      <c r="L73" s="1" t="s">
        <v>22</v>
      </c>
      <c r="N73" s="1" t="s">
        <v>23</v>
      </c>
    </row>
    <row r="74" hidden="1">
      <c r="A74" s="1">
        <v>2025.0</v>
      </c>
      <c r="B74" s="2" t="s">
        <v>262</v>
      </c>
      <c r="C74" s="2" t="str">
        <f>IFERROR(__xludf.DUMMYFUNCTION("GOOGLETRANSLATE(B74)"),"Climate Change Policy Framework ")</f>
        <v>Climate Change Policy Framework </v>
      </c>
      <c r="D74" s="1" t="s">
        <v>251</v>
      </c>
      <c r="E74" s="1" t="s">
        <v>252</v>
      </c>
      <c r="F74" s="1" t="s">
        <v>259</v>
      </c>
      <c r="G74" s="1"/>
      <c r="H74" s="1">
        <v>2015.0</v>
      </c>
      <c r="I74" s="1" t="s">
        <v>24</v>
      </c>
      <c r="J74" s="1" t="s">
        <v>263</v>
      </c>
      <c r="K74" s="4" t="s">
        <v>264</v>
      </c>
      <c r="L74" s="1" t="s">
        <v>22</v>
      </c>
      <c r="N74" s="1" t="s">
        <v>37</v>
      </c>
    </row>
    <row r="75" hidden="1">
      <c r="A75" s="1">
        <v>1409.0</v>
      </c>
      <c r="B75" s="2" t="s">
        <v>265</v>
      </c>
      <c r="C75" s="2" t="str">
        <f>IFERROR(__xludf.DUMMYFUNCTION("GOOGLETRANSLATE(B75)"),"Act on Special Measures Concerning Procurement of Electricity from
Renewable Energy Sources by Electricity Utilities")</f>
        <v>Act on Special Measures Concerning Procurement of Electricity from
Renewable Energy Sources by Electricity Utilities</v>
      </c>
      <c r="D75" s="1" t="s">
        <v>266</v>
      </c>
      <c r="E75" s="1" t="s">
        <v>267</v>
      </c>
      <c r="F75" s="1" t="s">
        <v>45</v>
      </c>
      <c r="G75" s="1"/>
      <c r="H75" s="1">
        <v>2011.0</v>
      </c>
      <c r="I75" s="1" t="s">
        <v>268</v>
      </c>
      <c r="J75" s="1" t="s">
        <v>269</v>
      </c>
      <c r="K75" s="4" t="s">
        <v>270</v>
      </c>
      <c r="L75" s="1" t="s">
        <v>22</v>
      </c>
      <c r="M75" s="1" t="s">
        <v>24</v>
      </c>
      <c r="N75" s="1" t="s">
        <v>23</v>
      </c>
    </row>
    <row r="76" hidden="1">
      <c r="A76" s="1">
        <v>1409.0</v>
      </c>
      <c r="B76" s="2" t="s">
        <v>271</v>
      </c>
      <c r="C76" s="2" t="str">
        <f>IFERROR(__xludf.DUMMYFUNCTION("GOOGLETRANSLATE(B76)"),"Cabinet Decision on the Bill for the Act of Partial Revision of the Electricity Business Act and Other Acts for Establishing Resilient and Sustainable Electricity Supply Systems")</f>
        <v>Cabinet Decision on the Bill for the Act of Partial Revision of the Electricity Business Act and Other Acts for Establishing Resilient and Sustainable Electricity Supply Systems</v>
      </c>
      <c r="D76" s="1" t="s">
        <v>266</v>
      </c>
      <c r="E76" s="1" t="s">
        <v>267</v>
      </c>
      <c r="F76" s="1" t="s">
        <v>272</v>
      </c>
      <c r="G76" s="1"/>
      <c r="H76" s="1">
        <v>2020.0</v>
      </c>
      <c r="I76" s="1" t="s">
        <v>24</v>
      </c>
      <c r="J76" s="1" t="s">
        <v>273</v>
      </c>
      <c r="K76" s="4" t="s">
        <v>274</v>
      </c>
      <c r="L76" s="1" t="s">
        <v>22</v>
      </c>
      <c r="N76" s="1" t="s">
        <v>275</v>
      </c>
    </row>
    <row r="77" hidden="1">
      <c r="A77" s="1">
        <v>1413.0</v>
      </c>
      <c r="B77" s="2" t="s">
        <v>276</v>
      </c>
      <c r="C77" s="2" t="str">
        <f>IFERROR(__xludf.DUMMYFUNCTION("GOOGLETRANSLATE(B77)"),"Act on Promotion of Global Warming Countermeasures")</f>
        <v>Act on Promotion of Global Warming Countermeasures</v>
      </c>
      <c r="D77" s="1" t="s">
        <v>266</v>
      </c>
      <c r="E77" s="1" t="s">
        <v>267</v>
      </c>
      <c r="F77" s="1" t="s">
        <v>45</v>
      </c>
      <c r="G77" s="1"/>
      <c r="H77" s="1">
        <v>1998.0</v>
      </c>
      <c r="I77" s="1" t="s">
        <v>268</v>
      </c>
      <c r="J77" s="1" t="s">
        <v>277</v>
      </c>
      <c r="K77" s="4" t="s">
        <v>278</v>
      </c>
      <c r="L77" s="1" t="s">
        <v>22</v>
      </c>
      <c r="N77" s="1" t="s">
        <v>23</v>
      </c>
    </row>
    <row r="78" hidden="1">
      <c r="A78" s="1">
        <v>1413.0</v>
      </c>
      <c r="B78" s="2" t="s">
        <v>279</v>
      </c>
      <c r="C78" s="2" t="str">
        <f>IFERROR(__xludf.DUMMYFUNCTION("GOOGLETRANSLATE(B78)"),"Cabinet decisions for a law proposal to partially amend the law on the promotion of global warming countermeasures")</f>
        <v>Cabinet decisions for a law proposal to partially amend the law on the promotion of global warming countermeasures</v>
      </c>
      <c r="D78" s="1" t="s">
        <v>266</v>
      </c>
      <c r="E78" s="1" t="s">
        <v>267</v>
      </c>
      <c r="F78" s="1" t="s">
        <v>272</v>
      </c>
      <c r="G78" s="1"/>
      <c r="H78" s="1">
        <v>2020.0</v>
      </c>
      <c r="I78" s="1" t="s">
        <v>268</v>
      </c>
      <c r="J78" s="1" t="s">
        <v>280</v>
      </c>
      <c r="K78" s="4" t="s">
        <v>281</v>
      </c>
      <c r="L78" s="1" t="s">
        <v>22</v>
      </c>
      <c r="N78" s="1" t="s">
        <v>37</v>
      </c>
    </row>
    <row r="79" hidden="1">
      <c r="A79" s="1">
        <v>1413.0</v>
      </c>
      <c r="B79" s="2" t="s">
        <v>282</v>
      </c>
      <c r="C79" s="2" t="str">
        <f>IFERROR(__xludf.DUMMYFUNCTION("GOOGLETRANSLATE(B79)"),"Revised Global Warming Countermeasures Promotion Law")</f>
        <v>Revised Global Warming Countermeasures Promotion Law</v>
      </c>
      <c r="D79" s="1" t="s">
        <v>266</v>
      </c>
      <c r="E79" s="1" t="s">
        <v>267</v>
      </c>
      <c r="F79" s="1" t="s">
        <v>41</v>
      </c>
      <c r="G79" s="1"/>
      <c r="H79" s="1">
        <v>2021.0</v>
      </c>
      <c r="I79" s="1" t="s">
        <v>268</v>
      </c>
      <c r="J79" s="1" t="s">
        <v>283</v>
      </c>
      <c r="K79" s="4" t="s">
        <v>284</v>
      </c>
      <c r="L79" s="1" t="s">
        <v>22</v>
      </c>
      <c r="N79" s="1" t="s">
        <v>37</v>
      </c>
    </row>
    <row r="80" hidden="1">
      <c r="A80" s="1">
        <v>8645.0</v>
      </c>
      <c r="B80" s="2" t="s">
        <v>285</v>
      </c>
      <c r="C80" s="2" t="str">
        <f>IFERROR(__xludf.DUMMYFUNCTION("GOOGLETRANSLATE(B80)"),"Cabinet Decision on the Plan for Global Warming Countermeasures")</f>
        <v>Cabinet Decision on the Plan for Global Warming Countermeasures</v>
      </c>
      <c r="D80" s="1" t="s">
        <v>266</v>
      </c>
      <c r="E80" s="1" t="s">
        <v>267</v>
      </c>
      <c r="F80" s="1" t="s">
        <v>272</v>
      </c>
      <c r="G80" s="1"/>
      <c r="H80" s="1">
        <v>2016.0</v>
      </c>
      <c r="I80" s="1" t="s">
        <v>24</v>
      </c>
      <c r="J80" s="1" t="s">
        <v>286</v>
      </c>
      <c r="K80" s="4" t="s">
        <v>287</v>
      </c>
      <c r="L80" s="1" t="s">
        <v>22</v>
      </c>
      <c r="N80" s="1" t="s">
        <v>275</v>
      </c>
    </row>
    <row r="81" hidden="1">
      <c r="A81" s="1">
        <v>8645.0</v>
      </c>
      <c r="B81" s="2" t="s">
        <v>288</v>
      </c>
      <c r="C81" s="2" t="str">
        <f>IFERROR(__xludf.DUMMYFUNCTION("GOOGLETRANSLATE(B81)"),"Overview of the Plan for Global Warming Countermeasures: Cabinet Decision")</f>
        <v>Overview of the Plan for Global Warming Countermeasures: Cabinet Decision</v>
      </c>
      <c r="D81" s="1" t="s">
        <v>266</v>
      </c>
      <c r="E81" s="1" t="s">
        <v>267</v>
      </c>
      <c r="F81" s="1" t="s">
        <v>272</v>
      </c>
      <c r="G81" s="1"/>
      <c r="H81" s="1">
        <v>2016.0</v>
      </c>
      <c r="I81" s="1" t="s">
        <v>24</v>
      </c>
      <c r="J81" s="1" t="s">
        <v>289</v>
      </c>
      <c r="K81" s="4" t="s">
        <v>290</v>
      </c>
      <c r="L81" s="1" t="s">
        <v>22</v>
      </c>
      <c r="N81" s="1" t="s">
        <v>23</v>
      </c>
    </row>
    <row r="82" hidden="1">
      <c r="A82" s="1">
        <v>8646.0</v>
      </c>
      <c r="B82" s="2" t="s">
        <v>291</v>
      </c>
      <c r="C82" s="2" t="str">
        <f>IFERROR(__xludf.DUMMYFUNCTION("GOOGLETRANSLATE(B82)"),"Strategic Energy Plan")</f>
        <v>Strategic Energy Plan</v>
      </c>
      <c r="D82" s="1" t="s">
        <v>266</v>
      </c>
      <c r="E82" s="1" t="s">
        <v>267</v>
      </c>
      <c r="F82" s="1" t="s">
        <v>234</v>
      </c>
      <c r="G82" s="1"/>
      <c r="H82" s="1">
        <v>2014.0</v>
      </c>
      <c r="I82" s="1" t="s">
        <v>24</v>
      </c>
      <c r="J82" s="1" t="s">
        <v>292</v>
      </c>
      <c r="K82" s="4" t="s">
        <v>293</v>
      </c>
      <c r="L82" s="1" t="s">
        <v>22</v>
      </c>
      <c r="N82" s="1" t="s">
        <v>23</v>
      </c>
    </row>
    <row r="83">
      <c r="A83" s="1">
        <v>8646.0</v>
      </c>
      <c r="B83" s="2" t="s">
        <v>294</v>
      </c>
      <c r="C83" s="2" t="str">
        <f>IFERROR(__xludf.DUMMYFUNCTION("GOOGLETRANSLATE(B83)"),"Long-term Energy Supply and Demand Outlook")</f>
        <v>Long-term Energy Supply and Demand Outlook</v>
      </c>
      <c r="D83" s="1" t="s">
        <v>266</v>
      </c>
      <c r="E83" s="1" t="s">
        <v>267</v>
      </c>
      <c r="F83" s="1" t="s">
        <v>295</v>
      </c>
      <c r="G83" s="1" t="s">
        <v>234</v>
      </c>
      <c r="H83" s="1">
        <v>2015.0</v>
      </c>
      <c r="I83" s="1" t="s">
        <v>24</v>
      </c>
      <c r="J83" s="1" t="s">
        <v>296</v>
      </c>
      <c r="K83" s="4" t="s">
        <v>297</v>
      </c>
      <c r="L83" s="1" t="s">
        <v>22</v>
      </c>
      <c r="N83" s="1" t="s">
        <v>275</v>
      </c>
    </row>
    <row r="84" hidden="1">
      <c r="A84" s="1">
        <v>8646.0</v>
      </c>
      <c r="B84" s="2" t="s">
        <v>298</v>
      </c>
      <c r="C84" s="2" t="str">
        <f>IFERROR(__xludf.DUMMYFUNCTION("GOOGLETRANSLATE(B84)"),"Cabinet Decision on the New Strategic Energy Plan")</f>
        <v>Cabinet Decision on the New Strategic Energy Plan</v>
      </c>
      <c r="D84" s="1" t="s">
        <v>266</v>
      </c>
      <c r="E84" s="1" t="s">
        <v>267</v>
      </c>
      <c r="F84" s="1" t="s">
        <v>272</v>
      </c>
      <c r="G84" s="1"/>
      <c r="H84" s="1">
        <v>2018.0</v>
      </c>
      <c r="I84" s="1" t="s">
        <v>24</v>
      </c>
      <c r="J84" s="1" t="s">
        <v>299</v>
      </c>
      <c r="K84" s="4" t="s">
        <v>300</v>
      </c>
      <c r="L84" s="1" t="s">
        <v>22</v>
      </c>
      <c r="N84" s="1" t="s">
        <v>275</v>
      </c>
    </row>
    <row r="85" hidden="1">
      <c r="A85" s="1">
        <v>8647.0</v>
      </c>
      <c r="B85" s="2" t="s">
        <v>301</v>
      </c>
      <c r="C85" s="2" t="str">
        <f>IFERROR(__xludf.DUMMYFUNCTION("GOOGLETRANSLATE(B85)"),"National Plan for Adaptation to the Impacts of Climate Change: Cabinet Decision")</f>
        <v>National Plan for Adaptation to the Impacts of Climate Change: Cabinet Decision</v>
      </c>
      <c r="D85" s="1" t="s">
        <v>266</v>
      </c>
      <c r="E85" s="1" t="s">
        <v>267</v>
      </c>
      <c r="F85" s="1" t="s">
        <v>272</v>
      </c>
      <c r="G85" s="1"/>
      <c r="H85" s="1">
        <v>2015.0</v>
      </c>
      <c r="I85" s="1" t="s">
        <v>24</v>
      </c>
      <c r="J85" s="1" t="s">
        <v>302</v>
      </c>
      <c r="K85" s="4" t="s">
        <v>303</v>
      </c>
      <c r="L85" s="1" t="s">
        <v>22</v>
      </c>
      <c r="N85" s="1" t="s">
        <v>23</v>
      </c>
    </row>
    <row r="86">
      <c r="A86" s="1">
        <v>8647.0</v>
      </c>
      <c r="B86" s="2" t="s">
        <v>304</v>
      </c>
      <c r="C86" s="2" t="str">
        <f>IFERROR(__xludf.DUMMYFUNCTION("GOOGLETRANSLATE(B86)"),"Report on Assessment of Impacts of Climate Change in Japan and Future Challenges (Comment Submission)")</f>
        <v>Report on Assessment of Impacts of Climate Change in Japan and Future Challenges (Comment Submission)</v>
      </c>
      <c r="D86" s="1" t="s">
        <v>266</v>
      </c>
      <c r="E86" s="1" t="s">
        <v>267</v>
      </c>
      <c r="F86" s="9" t="s">
        <v>305</v>
      </c>
      <c r="G86" s="1" t="s">
        <v>234</v>
      </c>
      <c r="H86" s="1">
        <v>2015.0</v>
      </c>
      <c r="I86" s="1" t="s">
        <v>24</v>
      </c>
      <c r="J86" s="1" t="s">
        <v>306</v>
      </c>
      <c r="K86" s="4" t="s">
        <v>307</v>
      </c>
      <c r="L86" s="1" t="s">
        <v>22</v>
      </c>
      <c r="N86" s="1" t="s">
        <v>23</v>
      </c>
    </row>
    <row r="87" hidden="1">
      <c r="A87" s="1">
        <v>9767.0</v>
      </c>
      <c r="B87" s="2" t="s">
        <v>308</v>
      </c>
      <c r="C87" s="2" t="str">
        <f>IFERROR(__xludf.DUMMYFUNCTION("GOOGLETRANSLATE(B87)"),"“Green Growth Strategy Through Achieving Carbon Neutrality in 2050” Formulated")</f>
        <v>“Green Growth Strategy Through Achieving Carbon Neutrality in 2050” Formulated</v>
      </c>
      <c r="D87" s="1" t="s">
        <v>266</v>
      </c>
      <c r="E87" s="1" t="s">
        <v>267</v>
      </c>
      <c r="F87" s="1" t="s">
        <v>144</v>
      </c>
      <c r="G87" s="1"/>
      <c r="H87" s="1">
        <v>2020.0</v>
      </c>
      <c r="I87" s="1" t="s">
        <v>24</v>
      </c>
      <c r="J87" s="1" t="s">
        <v>309</v>
      </c>
      <c r="K87" s="4" t="s">
        <v>310</v>
      </c>
      <c r="L87" s="1" t="s">
        <v>22</v>
      </c>
      <c r="N87" s="1" t="s">
        <v>275</v>
      </c>
    </row>
    <row r="88" hidden="1">
      <c r="A88" s="1">
        <v>9767.0</v>
      </c>
      <c r="B88" s="2" t="s">
        <v>311</v>
      </c>
      <c r="C88" s="2" t="str">
        <f>IFERROR(__xludf.DUMMYFUNCTION("GOOGLETRANSLATE(B88)"),"Overview of Japan’s Green Growth Strategy Through Achieving Carbon Neutrality in 2050")</f>
        <v>Overview of Japan’s Green Growth Strategy Through Achieving Carbon Neutrality in 2050</v>
      </c>
      <c r="D88" s="1" t="s">
        <v>266</v>
      </c>
      <c r="E88" s="1" t="s">
        <v>267</v>
      </c>
      <c r="F88" s="1" t="s">
        <v>144</v>
      </c>
      <c r="G88" s="1"/>
      <c r="H88" s="1">
        <v>2021.0</v>
      </c>
      <c r="I88" s="1" t="s">
        <v>24</v>
      </c>
      <c r="J88" s="1" t="s">
        <v>312</v>
      </c>
      <c r="K88" s="4" t="s">
        <v>313</v>
      </c>
      <c r="L88" s="1" t="s">
        <v>22</v>
      </c>
      <c r="N88" s="1" t="s">
        <v>23</v>
      </c>
    </row>
    <row r="89" hidden="1">
      <c r="A89" s="1">
        <v>9767.0</v>
      </c>
      <c r="B89" s="2" t="s">
        <v>314</v>
      </c>
      <c r="C89" s="23" t="s">
        <v>315</v>
      </c>
      <c r="D89" s="1" t="s">
        <v>266</v>
      </c>
      <c r="E89" s="1" t="s">
        <v>267</v>
      </c>
      <c r="F89" s="1" t="s">
        <v>144</v>
      </c>
      <c r="G89" s="1"/>
      <c r="H89" s="1">
        <v>2020.0</v>
      </c>
      <c r="I89" s="1" t="s">
        <v>268</v>
      </c>
      <c r="J89" s="1" t="s">
        <v>316</v>
      </c>
      <c r="K89" s="4" t="s">
        <v>317</v>
      </c>
      <c r="L89" s="1" t="s">
        <v>22</v>
      </c>
      <c r="N89" s="1" t="s">
        <v>23</v>
      </c>
    </row>
    <row r="90" hidden="1">
      <c r="A90" s="1">
        <v>9768.0</v>
      </c>
      <c r="B90" s="2" t="s">
        <v>318</v>
      </c>
      <c r="C90" s="2" t="str">
        <f>IFERROR(__xludf.DUMMYFUNCTION("GOOGLETRANSLATE(B90)"),"Basic Hydrogen Strategy")</f>
        <v>Basic Hydrogen Strategy</v>
      </c>
      <c r="D90" s="1" t="s">
        <v>266</v>
      </c>
      <c r="E90" s="1" t="s">
        <v>267</v>
      </c>
      <c r="F90" s="1" t="s">
        <v>144</v>
      </c>
      <c r="G90" s="1"/>
      <c r="H90" s="1">
        <v>2017.0</v>
      </c>
      <c r="I90" s="1" t="s">
        <v>24</v>
      </c>
      <c r="J90" s="1" t="s">
        <v>319</v>
      </c>
      <c r="K90" s="4" t="s">
        <v>320</v>
      </c>
      <c r="L90" s="1" t="s">
        <v>22</v>
      </c>
      <c r="N90" s="1" t="s">
        <v>23</v>
      </c>
    </row>
    <row r="91" hidden="1">
      <c r="A91" s="9">
        <v>9768.0</v>
      </c>
      <c r="B91" s="5"/>
      <c r="C91" s="8" t="str">
        <f>IFERROR(__xludf.DUMMYFUNCTION("GOOGLETRANSLATE(B91)"),"#VALUE!")</f>
        <v>#VALUE!</v>
      </c>
      <c r="D91" s="9" t="s">
        <v>266</v>
      </c>
      <c r="E91" s="9" t="s">
        <v>267</v>
      </c>
      <c r="F91" s="3"/>
      <c r="G91" s="3"/>
      <c r="H91" s="3"/>
      <c r="I91" s="3"/>
      <c r="J91" s="9" t="s">
        <v>321</v>
      </c>
      <c r="K91" s="24" t="s">
        <v>322</v>
      </c>
      <c r="L91" s="9" t="s">
        <v>22</v>
      </c>
      <c r="M91" s="3"/>
      <c r="N91" s="9" t="s">
        <v>92</v>
      </c>
      <c r="O91" s="3"/>
      <c r="P91" s="3"/>
      <c r="Q91" s="3"/>
      <c r="R91" s="3"/>
      <c r="S91" s="3"/>
      <c r="T91" s="3"/>
      <c r="U91" s="3"/>
      <c r="V91" s="3"/>
      <c r="W91" s="3"/>
      <c r="X91" s="3"/>
      <c r="Y91" s="3"/>
      <c r="Z91" s="3"/>
      <c r="AA91" s="3"/>
      <c r="AB91" s="3"/>
    </row>
    <row r="92" hidden="1">
      <c r="A92" s="1">
        <v>10334.0</v>
      </c>
      <c r="B92" s="2" t="s">
        <v>323</v>
      </c>
      <c r="C92" s="2" t="str">
        <f>IFERROR(__xludf.DUMMYFUNCTION("GOOGLETRANSLATE(B92)"),"Strategy for Sustainable Food Systems, MeaDRI")</f>
        <v>Strategy for Sustainable Food Systems, MeaDRI</v>
      </c>
      <c r="D92" s="1" t="s">
        <v>266</v>
      </c>
      <c r="E92" s="1" t="s">
        <v>267</v>
      </c>
      <c r="F92" s="1" t="s">
        <v>144</v>
      </c>
      <c r="G92" s="1"/>
      <c r="H92" s="1">
        <v>2021.0</v>
      </c>
      <c r="I92" s="1" t="s">
        <v>24</v>
      </c>
      <c r="J92" s="1" t="s">
        <v>324</v>
      </c>
      <c r="K92" s="4" t="s">
        <v>325</v>
      </c>
      <c r="L92" s="1" t="s">
        <v>22</v>
      </c>
      <c r="N92" s="1" t="s">
        <v>326</v>
      </c>
    </row>
    <row r="93">
      <c r="A93" s="1">
        <v>10334.0</v>
      </c>
      <c r="B93" s="2" t="s">
        <v>327</v>
      </c>
      <c r="C93" s="2" t="str">
        <f>IFERROR(__xludf.DUMMYFUNCTION("GOOGLETRANSLATE(B93)"),"Measures for achievement of Decarbonization and Resilience with Innovation (MeaDRI)")</f>
        <v>Measures for achievement of Decarbonization and Resilience with Innovation (MeaDRI)</v>
      </c>
      <c r="D93" s="1" t="s">
        <v>266</v>
      </c>
      <c r="E93" s="1" t="s">
        <v>267</v>
      </c>
      <c r="F93" s="9" t="s">
        <v>144</v>
      </c>
      <c r="G93" s="9" t="s">
        <v>144</v>
      </c>
      <c r="H93" s="3"/>
      <c r="I93" s="1" t="s">
        <v>24</v>
      </c>
      <c r="J93" s="1" t="s">
        <v>328</v>
      </c>
      <c r="K93" s="4" t="s">
        <v>329</v>
      </c>
      <c r="L93" s="1" t="s">
        <v>22</v>
      </c>
      <c r="N93" s="1" t="s">
        <v>23</v>
      </c>
    </row>
    <row r="94">
      <c r="A94" s="1">
        <v>10334.0</v>
      </c>
      <c r="B94" s="2" t="s">
        <v>327</v>
      </c>
      <c r="C94" s="2" t="str">
        <f>IFERROR(__xludf.DUMMYFUNCTION("GOOGLETRANSLATE(B94)"),"Measures for achievement of Decarbonization and Resilience with Innovation (MeaDRI)")</f>
        <v>Measures for achievement of Decarbonization and Resilience with Innovation (MeaDRI)</v>
      </c>
      <c r="D94" s="1" t="s">
        <v>266</v>
      </c>
      <c r="E94" s="1" t="s">
        <v>267</v>
      </c>
      <c r="F94" s="9" t="s">
        <v>144</v>
      </c>
      <c r="G94" s="9" t="s">
        <v>144</v>
      </c>
      <c r="H94" s="1">
        <v>2021.0</v>
      </c>
      <c r="I94" s="1" t="s">
        <v>24</v>
      </c>
      <c r="J94" s="1" t="s">
        <v>330</v>
      </c>
      <c r="K94" s="4" t="s">
        <v>331</v>
      </c>
      <c r="L94" s="1" t="s">
        <v>22</v>
      </c>
      <c r="N94" s="1" t="s">
        <v>23</v>
      </c>
    </row>
    <row r="95" hidden="1">
      <c r="A95" s="1">
        <v>10397.0</v>
      </c>
      <c r="B95" s="2" t="s">
        <v>332</v>
      </c>
      <c r="C95" s="2" t="str">
        <f>IFERROR(__xludf.DUMMYFUNCTION("GOOGLETRANSLATE(B95)"),"Climate Change Regulation 2019")</f>
        <v>Climate Change Regulation 2019</v>
      </c>
      <c r="D95" s="1" t="s">
        <v>333</v>
      </c>
      <c r="E95" s="1" t="s">
        <v>334</v>
      </c>
      <c r="F95" s="1" t="s">
        <v>34</v>
      </c>
      <c r="G95" s="1"/>
      <c r="H95" s="1">
        <v>2019.0</v>
      </c>
      <c r="I95" s="1" t="s">
        <v>335</v>
      </c>
      <c r="J95" s="1" t="s">
        <v>336</v>
      </c>
      <c r="K95" s="4" t="s">
        <v>337</v>
      </c>
      <c r="L95" s="1" t="s">
        <v>22</v>
      </c>
      <c r="N95" s="1" t="s">
        <v>23</v>
      </c>
    </row>
    <row r="96" hidden="1">
      <c r="A96" s="1">
        <v>10397.0</v>
      </c>
      <c r="B96" s="2" t="s">
        <v>338</v>
      </c>
      <c r="C96" s="2" t="str">
        <f>IFERROR(__xludf.DUMMYFUNCTION("GOOGLETRANSLATE(B96)"),"Environmental Protection Law of 2017 ")</f>
        <v>Environmental Protection Law of 2017 </v>
      </c>
      <c r="D96" s="1" t="s">
        <v>333</v>
      </c>
      <c r="E96" s="1" t="s">
        <v>334</v>
      </c>
      <c r="F96" s="1" t="s">
        <v>41</v>
      </c>
      <c r="G96" s="1"/>
      <c r="H96" s="1">
        <v>2017.0</v>
      </c>
      <c r="I96" s="1" t="s">
        <v>24</v>
      </c>
      <c r="J96" s="1" t="s">
        <v>339</v>
      </c>
      <c r="K96" s="4" t="s">
        <v>340</v>
      </c>
      <c r="L96" s="1" t="s">
        <v>22</v>
      </c>
      <c r="N96" s="1" t="s">
        <v>23</v>
      </c>
    </row>
    <row r="97">
      <c r="A97" s="1">
        <v>1423.0</v>
      </c>
      <c r="B97" s="2" t="s">
        <v>341</v>
      </c>
      <c r="C97" s="2" t="str">
        <f>IFERROR(__xludf.DUMMYFUNCTION("GOOGLETRANSLATE(B97)"),"CONCEPT for transition of the Republic of Kazakhstan to Green Economy")</f>
        <v>CONCEPT for transition of the Republic of Kazakhstan to Green Economy</v>
      </c>
      <c r="D97" s="1" t="s">
        <v>342</v>
      </c>
      <c r="E97" s="1" t="s">
        <v>343</v>
      </c>
      <c r="F97" s="9" t="s">
        <v>253</v>
      </c>
      <c r="G97" s="1" t="s">
        <v>18</v>
      </c>
      <c r="H97" s="1">
        <v>2013.0</v>
      </c>
      <c r="I97" s="1" t="s">
        <v>24</v>
      </c>
      <c r="J97" s="1" t="s">
        <v>344</v>
      </c>
      <c r="K97" s="4" t="s">
        <v>345</v>
      </c>
      <c r="L97" s="1" t="s">
        <v>22</v>
      </c>
      <c r="N97" s="1" t="s">
        <v>23</v>
      </c>
    </row>
    <row r="98">
      <c r="A98" s="1">
        <v>1423.0</v>
      </c>
      <c r="B98" s="2" t="s">
        <v>346</v>
      </c>
      <c r="C98" s="2" t="s">
        <v>341</v>
      </c>
      <c r="D98" s="1" t="s">
        <v>342</v>
      </c>
      <c r="E98" s="1" t="s">
        <v>343</v>
      </c>
      <c r="F98" s="9" t="s">
        <v>253</v>
      </c>
      <c r="G98" s="1" t="s">
        <v>18</v>
      </c>
      <c r="H98" s="1">
        <v>2013.0</v>
      </c>
      <c r="I98" s="1" t="s">
        <v>347</v>
      </c>
      <c r="J98" s="1" t="s">
        <v>348</v>
      </c>
      <c r="K98" s="4" t="s">
        <v>349</v>
      </c>
      <c r="L98" s="1" t="s">
        <v>22</v>
      </c>
      <c r="N98" s="1" t="s">
        <v>23</v>
      </c>
    </row>
    <row r="99" hidden="1">
      <c r="A99" s="1">
        <v>1425.0</v>
      </c>
      <c r="B99" s="2" t="s">
        <v>350</v>
      </c>
      <c r="C99" s="2" t="str">
        <f>IFERROR(__xludf.DUMMYFUNCTION("GOOGLETRANSLATE(B99)"),"Decree on the development of wind energy")</f>
        <v>Decree on the development of wind energy</v>
      </c>
      <c r="D99" s="1" t="s">
        <v>342</v>
      </c>
      <c r="E99" s="1" t="s">
        <v>343</v>
      </c>
      <c r="F99" s="1" t="s">
        <v>18</v>
      </c>
      <c r="G99" s="1"/>
      <c r="H99" s="1">
        <v>2003.0</v>
      </c>
      <c r="I99" s="1" t="s">
        <v>347</v>
      </c>
      <c r="J99" s="1" t="s">
        <v>351</v>
      </c>
      <c r="K99" s="4" t="s">
        <v>352</v>
      </c>
      <c r="L99" s="1" t="s">
        <v>22</v>
      </c>
      <c r="N99" s="1" t="s">
        <v>23</v>
      </c>
    </row>
    <row r="100" hidden="1">
      <c r="A100" s="1">
        <v>1425.0</v>
      </c>
      <c r="B100" s="2" t="s">
        <v>353</v>
      </c>
      <c r="C100" s="2" t="str">
        <f>IFERROR(__xludf.DUMMYFUNCTION("GOOGLETRANSLATE(B100)"),"Decree on the development of wind energy")</f>
        <v>Decree on the development of wind energy</v>
      </c>
      <c r="D100" s="1" t="s">
        <v>342</v>
      </c>
      <c r="E100" s="1" t="s">
        <v>343</v>
      </c>
      <c r="F100" s="1" t="s">
        <v>18</v>
      </c>
      <c r="G100" s="1"/>
      <c r="H100" s="1">
        <v>2003.0</v>
      </c>
      <c r="I100" s="1" t="s">
        <v>24</v>
      </c>
      <c r="J100" s="1" t="s">
        <v>354</v>
      </c>
      <c r="K100" s="4" t="s">
        <v>355</v>
      </c>
      <c r="L100" s="1" t="s">
        <v>22</v>
      </c>
      <c r="N100" s="1" t="s">
        <v>23</v>
      </c>
    </row>
    <row r="101">
      <c r="A101" s="1">
        <v>2031.0</v>
      </c>
      <c r="B101" s="2" t="s">
        <v>346</v>
      </c>
      <c r="C101" s="2" t="str">
        <f>IFERROR(__xludf.DUMMYFUNCTION("GOOGLETRANSLATE(B101)"),"Concept on the transition of the Republic of Kazakhstan to the ""Green Economics""")</f>
        <v>Concept on the transition of the Republic of Kazakhstan to the "Green Economics"</v>
      </c>
      <c r="D101" s="1" t="s">
        <v>342</v>
      </c>
      <c r="E101" s="1" t="s">
        <v>343</v>
      </c>
      <c r="F101" s="9" t="s">
        <v>253</v>
      </c>
      <c r="G101" s="1" t="s">
        <v>41</v>
      </c>
      <c r="H101" s="1">
        <v>2013.0</v>
      </c>
      <c r="I101" s="1" t="s">
        <v>347</v>
      </c>
      <c r="J101" s="1" t="s">
        <v>356</v>
      </c>
      <c r="K101" s="4" t="s">
        <v>357</v>
      </c>
      <c r="L101" s="1" t="s">
        <v>22</v>
      </c>
      <c r="N101" s="1" t="s">
        <v>23</v>
      </c>
    </row>
    <row r="102">
      <c r="A102" s="1">
        <v>2031.0</v>
      </c>
      <c r="B102" s="2" t="s">
        <v>358</v>
      </c>
      <c r="C102" s="2" t="s">
        <v>359</v>
      </c>
      <c r="D102" s="1" t="s">
        <v>342</v>
      </c>
      <c r="E102" s="1" t="s">
        <v>343</v>
      </c>
      <c r="F102" s="9" t="s">
        <v>85</v>
      </c>
      <c r="G102" s="1" t="s">
        <v>41</v>
      </c>
      <c r="H102" s="1">
        <v>2015.0</v>
      </c>
      <c r="I102" s="1" t="s">
        <v>347</v>
      </c>
      <c r="J102" s="1" t="s">
        <v>360</v>
      </c>
      <c r="K102" s="4" t="s">
        <v>361</v>
      </c>
      <c r="L102" s="1" t="s">
        <v>22</v>
      </c>
      <c r="N102" s="1" t="s">
        <v>23</v>
      </c>
    </row>
    <row r="103" hidden="1">
      <c r="A103" s="1">
        <v>1428.0</v>
      </c>
      <c r="B103" s="2" t="s">
        <v>362</v>
      </c>
      <c r="C103" s="2" t="str">
        <f>IFERROR(__xludf.DUMMYFUNCTION("GOOGLETRANSLATE(B103)"),"National Climate Change Response Strategy")</f>
        <v>National Climate Change Response Strategy</v>
      </c>
      <c r="D103" s="1" t="s">
        <v>363</v>
      </c>
      <c r="E103" s="1" t="s">
        <v>364</v>
      </c>
      <c r="F103" s="1" t="s">
        <v>144</v>
      </c>
      <c r="G103" s="1"/>
      <c r="H103" s="1">
        <v>2010.0</v>
      </c>
      <c r="I103" s="1" t="s">
        <v>24</v>
      </c>
      <c r="J103" s="1" t="s">
        <v>365</v>
      </c>
      <c r="K103" s="4" t="s">
        <v>366</v>
      </c>
      <c r="L103" s="1" t="s">
        <v>22</v>
      </c>
      <c r="N103" s="1" t="s">
        <v>23</v>
      </c>
    </row>
    <row r="104" hidden="1">
      <c r="A104" s="1">
        <v>1428.0</v>
      </c>
      <c r="B104" s="2" t="s">
        <v>367</v>
      </c>
      <c r="C104" s="2" t="str">
        <f>IFERROR(__xludf.DUMMYFUNCTION("GOOGLETRANSLATE(B104)"),"National Climate Change Action Plan 2013 -2017")</f>
        <v>National Climate Change Action Plan 2013 -2017</v>
      </c>
      <c r="D104" s="1" t="s">
        <v>363</v>
      </c>
      <c r="E104" s="1" t="s">
        <v>364</v>
      </c>
      <c r="F104" s="1" t="s">
        <v>368</v>
      </c>
      <c r="G104" s="1"/>
      <c r="H104" s="1">
        <v>2013.0</v>
      </c>
      <c r="I104" s="1" t="s">
        <v>24</v>
      </c>
      <c r="J104" s="1" t="s">
        <v>369</v>
      </c>
      <c r="K104" s="4" t="s">
        <v>370</v>
      </c>
      <c r="L104" s="1" t="s">
        <v>22</v>
      </c>
      <c r="N104" s="1" t="s">
        <v>23</v>
      </c>
    </row>
    <row r="105" hidden="1">
      <c r="A105" s="1">
        <v>1430.0</v>
      </c>
      <c r="B105" s="2" t="s">
        <v>371</v>
      </c>
      <c r="C105" s="2" t="str">
        <f>IFERROR(__xludf.DUMMYFUNCTION("GOOGLETRANSLATE(B105)"),"Agriculture (Farm Forestry) Rules 2009")</f>
        <v>Agriculture (Farm Forestry) Rules 2009</v>
      </c>
      <c r="D105" s="1" t="s">
        <v>363</v>
      </c>
      <c r="E105" s="1" t="s">
        <v>364</v>
      </c>
      <c r="F105" s="1" t="s">
        <v>372</v>
      </c>
      <c r="G105" s="1"/>
      <c r="H105" s="1">
        <v>2009.0</v>
      </c>
      <c r="I105" s="1" t="s">
        <v>24</v>
      </c>
      <c r="J105" s="1" t="s">
        <v>373</v>
      </c>
      <c r="K105" s="4" t="s">
        <v>374</v>
      </c>
      <c r="L105" s="1" t="s">
        <v>22</v>
      </c>
      <c r="N105" s="1" t="s">
        <v>23</v>
      </c>
    </row>
    <row r="106" hidden="1">
      <c r="A106" s="1">
        <v>1430.0</v>
      </c>
      <c r="B106" s="2" t="s">
        <v>375</v>
      </c>
      <c r="C106" s="2" t="str">
        <f>IFERROR(__xludf.DUMMYFUNCTION("GOOGLETRANSLATE(B106)"),"THE FORESTS (PARTICIPATION IN SUSTAINABLE FOREST MANAGEMENT) RULES, 2009 - Legal Notice")</f>
        <v>THE FORESTS (PARTICIPATION IN SUSTAINABLE FOREST MANAGEMENT) RULES, 2009 - Legal Notice</v>
      </c>
      <c r="D106" s="1" t="s">
        <v>363</v>
      </c>
      <c r="E106" s="1" t="s">
        <v>364</v>
      </c>
      <c r="F106" s="1" t="s">
        <v>372</v>
      </c>
      <c r="G106" s="1"/>
      <c r="H106" s="1">
        <v>2009.0</v>
      </c>
      <c r="I106" s="1" t="s">
        <v>24</v>
      </c>
      <c r="J106" s="4" t="s">
        <v>376</v>
      </c>
      <c r="K106" s="4" t="s">
        <v>377</v>
      </c>
      <c r="L106" s="1" t="s">
        <v>22</v>
      </c>
      <c r="N106" s="1" t="s">
        <v>92</v>
      </c>
    </row>
    <row r="107" hidden="1">
      <c r="A107" s="9">
        <v>1431.0</v>
      </c>
      <c r="B107" s="5"/>
      <c r="C107" s="8" t="str">
        <f>IFERROR(__xludf.DUMMYFUNCTION("GOOGLETRANSLATE(B107)"),"#VALUE!")</f>
        <v>#VALUE!</v>
      </c>
      <c r="D107" s="9" t="s">
        <v>363</v>
      </c>
      <c r="E107" s="9" t="s">
        <v>364</v>
      </c>
      <c r="F107" s="3"/>
      <c r="G107" s="3"/>
      <c r="H107" s="3"/>
      <c r="I107" s="9" t="s">
        <v>24</v>
      </c>
      <c r="J107" s="9" t="s">
        <v>378</v>
      </c>
      <c r="K107" s="24" t="s">
        <v>379</v>
      </c>
      <c r="L107" s="9" t="s">
        <v>22</v>
      </c>
      <c r="M107" s="3"/>
      <c r="N107" s="9" t="s">
        <v>23</v>
      </c>
      <c r="O107" s="3"/>
      <c r="P107" s="3"/>
      <c r="Q107" s="3"/>
      <c r="R107" s="3"/>
      <c r="S107" s="3"/>
      <c r="T107" s="3"/>
      <c r="U107" s="3"/>
      <c r="V107" s="3"/>
      <c r="W107" s="3"/>
      <c r="X107" s="3"/>
      <c r="Y107" s="3"/>
      <c r="Z107" s="3"/>
      <c r="AA107" s="3"/>
      <c r="AB107" s="3"/>
    </row>
    <row r="108" hidden="1">
      <c r="A108" s="1">
        <v>1431.0</v>
      </c>
      <c r="B108" s="2" t="s">
        <v>380</v>
      </c>
      <c r="C108" s="2" t="str">
        <f>IFERROR(__xludf.DUMMYFUNCTION("GOOGLETRANSLATE(B108)"),"THE ENERGY (SOLAR WATER HEATING) REGULATIONS, 2012")</f>
        <v>THE ENERGY (SOLAR WATER HEATING) REGULATIONS, 2012</v>
      </c>
      <c r="D108" s="1" t="s">
        <v>363</v>
      </c>
      <c r="E108" s="1" t="s">
        <v>364</v>
      </c>
      <c r="F108" s="1" t="s">
        <v>34</v>
      </c>
      <c r="G108" s="1"/>
      <c r="H108" s="1">
        <v>2012.0</v>
      </c>
      <c r="I108" s="1" t="s">
        <v>24</v>
      </c>
      <c r="J108" s="1" t="s">
        <v>381</v>
      </c>
      <c r="K108" s="4" t="s">
        <v>382</v>
      </c>
      <c r="L108" s="1" t="s">
        <v>22</v>
      </c>
      <c r="N108" s="1" t="s">
        <v>23</v>
      </c>
    </row>
    <row r="109" hidden="1">
      <c r="A109" s="1">
        <v>8737.0</v>
      </c>
      <c r="B109" s="2" t="s">
        <v>383</v>
      </c>
      <c r="C109" s="2" t="str">
        <f>IFERROR(__xludf.DUMMYFUNCTION("GOOGLETRANSLATE(B109)"),"National Climate Change Action Plan (NCCAP) 2018-2022: Volume 1")</f>
        <v>National Climate Change Action Plan (NCCAP) 2018-2022: Volume 1</v>
      </c>
      <c r="D109" s="1" t="s">
        <v>363</v>
      </c>
      <c r="E109" s="1" t="s">
        <v>364</v>
      </c>
      <c r="F109" s="1" t="s">
        <v>368</v>
      </c>
      <c r="G109" s="1"/>
      <c r="H109" s="1">
        <v>2018.0</v>
      </c>
      <c r="I109" s="1" t="s">
        <v>24</v>
      </c>
      <c r="J109" s="1" t="s">
        <v>384</v>
      </c>
      <c r="K109" s="4" t="s">
        <v>385</v>
      </c>
      <c r="L109" s="1" t="s">
        <v>22</v>
      </c>
      <c r="N109" s="1" t="s">
        <v>23</v>
      </c>
    </row>
    <row r="110" hidden="1">
      <c r="A110" s="1">
        <v>8737.0</v>
      </c>
      <c r="B110" s="2" t="s">
        <v>386</v>
      </c>
      <c r="C110" s="2" t="str">
        <f>IFERROR(__xludf.DUMMYFUNCTION("GOOGLETRANSLATE(B110)"),"NATIONAL CLIMATE CHANGE ACTION PLAN 2018-2022 Volume I")</f>
        <v>NATIONAL CLIMATE CHANGE ACTION PLAN 2018-2022 Volume I</v>
      </c>
      <c r="D110" s="1" t="s">
        <v>363</v>
      </c>
      <c r="E110" s="1" t="s">
        <v>364</v>
      </c>
      <c r="F110" s="1" t="s">
        <v>368</v>
      </c>
      <c r="G110" s="1"/>
      <c r="H110" s="1">
        <v>2018.0</v>
      </c>
      <c r="I110" s="1" t="s">
        <v>24</v>
      </c>
      <c r="J110" s="1" t="s">
        <v>387</v>
      </c>
      <c r="K110" s="4" t="s">
        <v>388</v>
      </c>
      <c r="L110" s="1" t="s">
        <v>22</v>
      </c>
      <c r="N110" s="1" t="s">
        <v>23</v>
      </c>
    </row>
    <row r="111" hidden="1">
      <c r="A111" s="1">
        <v>8737.0</v>
      </c>
      <c r="B111" s="2" t="s">
        <v>389</v>
      </c>
      <c r="C111" s="2" t="str">
        <f>IFERROR(__xludf.DUMMYFUNCTION("GOOGLETRANSLATE(B111)"),"NATIONAL CLIMATE CHANGE ACTION PLAN
2018-2022 Volume 3: Mitigation Technical Analysis Report")</f>
        <v>NATIONAL CLIMATE CHANGE ACTION PLAN
2018-2022 Volume 3: Mitigation Technical Analysis Report</v>
      </c>
      <c r="D111" s="1" t="s">
        <v>363</v>
      </c>
      <c r="E111" s="1" t="s">
        <v>364</v>
      </c>
      <c r="F111" s="1" t="s">
        <v>368</v>
      </c>
      <c r="G111" s="1"/>
      <c r="H111" s="1">
        <v>2018.0</v>
      </c>
      <c r="I111" s="1" t="s">
        <v>24</v>
      </c>
      <c r="J111" s="1" t="s">
        <v>390</v>
      </c>
      <c r="K111" s="4" t="s">
        <v>391</v>
      </c>
      <c r="L111" s="1" t="s">
        <v>22</v>
      </c>
      <c r="N111" s="1" t="s">
        <v>23</v>
      </c>
    </row>
    <row r="112" hidden="1">
      <c r="A112" s="1">
        <v>10149.0</v>
      </c>
      <c r="B112" s="2" t="s">
        <v>392</v>
      </c>
      <c r="C112" s="2" t="str">
        <f>IFERROR(__xludf.DUMMYFUNCTION("GOOGLETRANSLATE(B112)"),"THE ENVIRONMENTAL MANAGEMENT AND CO-ORDINATION ACT, 1999")</f>
        <v>THE ENVIRONMENTAL MANAGEMENT AND CO-ORDINATION ACT, 1999</v>
      </c>
      <c r="D112" s="1" t="s">
        <v>363</v>
      </c>
      <c r="E112" s="1" t="s">
        <v>364</v>
      </c>
      <c r="F112" s="1" t="s">
        <v>45</v>
      </c>
      <c r="G112" s="1"/>
      <c r="H112" s="1">
        <v>2000.0</v>
      </c>
      <c r="I112" s="1" t="s">
        <v>24</v>
      </c>
      <c r="J112" s="1" t="s">
        <v>393</v>
      </c>
      <c r="K112" s="4" t="s">
        <v>394</v>
      </c>
      <c r="L112" s="1" t="s">
        <v>22</v>
      </c>
      <c r="N112" s="1" t="s">
        <v>23</v>
      </c>
    </row>
    <row r="113" hidden="1">
      <c r="A113" s="1">
        <v>10149.0</v>
      </c>
      <c r="B113" s="2" t="s">
        <v>395</v>
      </c>
      <c r="C113" s="2" t="str">
        <f>IFERROR(__xludf.DUMMYFUNCTION("GOOGLETRANSLATE(B113)"),"The Environmental Management and Coordination (Amendment) Act, 2015")</f>
        <v>The Environmental Management and Coordination (Amendment) Act, 2015</v>
      </c>
      <c r="D113" s="1" t="s">
        <v>363</v>
      </c>
      <c r="E113" s="1" t="s">
        <v>364</v>
      </c>
      <c r="F113" s="1" t="s">
        <v>45</v>
      </c>
      <c r="G113" s="1"/>
      <c r="H113" s="1">
        <v>2015.0</v>
      </c>
      <c r="I113" s="1" t="s">
        <v>24</v>
      </c>
      <c r="J113" s="1" t="s">
        <v>396</v>
      </c>
      <c r="K113" s="4" t="s">
        <v>397</v>
      </c>
      <c r="L113" s="1" t="s">
        <v>22</v>
      </c>
      <c r="N113" s="1" t="s">
        <v>23</v>
      </c>
    </row>
    <row r="114" hidden="1">
      <c r="A114" s="1">
        <v>4322.0</v>
      </c>
      <c r="B114" s="2" t="s">
        <v>398</v>
      </c>
      <c r="C114" s="2" t="str">
        <f>IFERROR(__xludf.DUMMYFUNCTION("GOOGLETRANSLATE(B114)"),"KIRIBATI JOINT IMPLEMENTATION PLAN for Climate Change and Disaster Risk Management (KJIP) 2014-2023")</f>
        <v>KIRIBATI JOINT IMPLEMENTATION PLAN for Climate Change and Disaster Risk Management (KJIP) 2014-2023</v>
      </c>
      <c r="D114" s="1" t="s">
        <v>399</v>
      </c>
      <c r="E114" s="1" t="s">
        <v>400</v>
      </c>
      <c r="F114" s="1" t="s">
        <v>234</v>
      </c>
      <c r="G114" s="1"/>
      <c r="H114" s="1">
        <v>2014.0</v>
      </c>
      <c r="I114" s="1" t="s">
        <v>24</v>
      </c>
      <c r="J114" s="1" t="s">
        <v>401</v>
      </c>
      <c r="K114" s="4" t="s">
        <v>402</v>
      </c>
      <c r="L114" s="1" t="s">
        <v>22</v>
      </c>
      <c r="N114" s="1" t="s">
        <v>23</v>
      </c>
    </row>
    <row r="115" hidden="1">
      <c r="A115" s="1">
        <v>4322.0</v>
      </c>
      <c r="B115" s="2" t="s">
        <v>403</v>
      </c>
      <c r="C115" s="2" t="str">
        <f>IFERROR(__xludf.DUMMYFUNCTION("GOOGLETRANSLATE(B115)"),"KIRIBATI JOINT IMPLEMENTATION PLAN for Climate Change and Disaster Risk Management (KJIP) 2019-2028")</f>
        <v>KIRIBATI JOINT IMPLEMENTATION PLAN for Climate Change and Disaster Risk Management (KJIP) 2019-2028</v>
      </c>
      <c r="D115" s="1" t="s">
        <v>399</v>
      </c>
      <c r="E115" s="1" t="s">
        <v>400</v>
      </c>
      <c r="F115" s="1" t="s">
        <v>234</v>
      </c>
      <c r="G115" s="1"/>
      <c r="H115" s="1">
        <v>2019.0</v>
      </c>
      <c r="I115" s="1" t="s">
        <v>24</v>
      </c>
      <c r="J115" s="1" t="s">
        <v>404</v>
      </c>
      <c r="K115" s="4" t="s">
        <v>405</v>
      </c>
      <c r="L115" s="1" t="s">
        <v>22</v>
      </c>
      <c r="N115" s="1" t="s">
        <v>37</v>
      </c>
    </row>
    <row r="116" hidden="1">
      <c r="A116" s="1">
        <v>8869.0</v>
      </c>
      <c r="B116" s="2" t="s">
        <v>406</v>
      </c>
      <c r="C116" s="2" t="str">
        <f>IFERROR(__xludf.DUMMYFUNCTION("GOOGLETRANSLATE(B116)"),"National Water Resources Policy")</f>
        <v>National Water Resources Policy</v>
      </c>
      <c r="D116" s="1" t="s">
        <v>399</v>
      </c>
      <c r="E116" s="1" t="s">
        <v>400</v>
      </c>
      <c r="F116" s="1" t="s">
        <v>407</v>
      </c>
      <c r="G116" s="1"/>
      <c r="H116" s="1">
        <v>2008.0</v>
      </c>
      <c r="I116" s="1" t="s">
        <v>24</v>
      </c>
      <c r="J116" s="1" t="s">
        <v>408</v>
      </c>
      <c r="K116" s="4" t="s">
        <v>409</v>
      </c>
      <c r="L116" s="1" t="s">
        <v>22</v>
      </c>
      <c r="N116" s="1" t="s">
        <v>23</v>
      </c>
    </row>
    <row r="117" hidden="1">
      <c r="A117" s="1">
        <v>8869.0</v>
      </c>
      <c r="B117" s="2" t="s">
        <v>410</v>
      </c>
      <c r="C117" s="2" t="str">
        <f>IFERROR(__xludf.DUMMYFUNCTION("GOOGLETRANSLATE(B117)"),"National Water Resources Implementation Plan")</f>
        <v>National Water Resources Implementation Plan</v>
      </c>
      <c r="D117" s="1" t="s">
        <v>399</v>
      </c>
      <c r="E117" s="1" t="s">
        <v>400</v>
      </c>
      <c r="F117" s="1" t="s">
        <v>234</v>
      </c>
      <c r="G117" s="1"/>
      <c r="H117" s="1">
        <v>2008.0</v>
      </c>
      <c r="I117" s="1" t="s">
        <v>24</v>
      </c>
      <c r="J117" s="1" t="s">
        <v>411</v>
      </c>
      <c r="K117" s="4" t="s">
        <v>412</v>
      </c>
      <c r="L117" s="1" t="s">
        <v>22</v>
      </c>
      <c r="N117" s="1" t="s">
        <v>23</v>
      </c>
    </row>
    <row r="118" hidden="1">
      <c r="A118" s="1">
        <v>8471.0</v>
      </c>
      <c r="B118" s="2" t="s">
        <v>413</v>
      </c>
      <c r="C118" s="2" t="str">
        <f>IFERROR(__xludf.DUMMYFUNCTION("GOOGLETRANSLATE(B118)"),"Framework Strategy for Climate Change for Kosovo")</f>
        <v>Framework Strategy for Climate Change for Kosovo</v>
      </c>
      <c r="D118" s="1" t="s">
        <v>414</v>
      </c>
      <c r="E118" s="1" t="s">
        <v>415</v>
      </c>
      <c r="F118" s="9" t="s">
        <v>144</v>
      </c>
      <c r="G118" s="1"/>
      <c r="H118" s="1">
        <v>2014.0</v>
      </c>
      <c r="I118" s="1" t="s">
        <v>416</v>
      </c>
      <c r="J118" s="1" t="s">
        <v>417</v>
      </c>
      <c r="K118" s="4" t="s">
        <v>418</v>
      </c>
      <c r="L118" s="1" t="s">
        <v>22</v>
      </c>
      <c r="N118" s="1" t="s">
        <v>23</v>
      </c>
    </row>
    <row r="119" hidden="1">
      <c r="A119" s="1">
        <v>8471.0</v>
      </c>
      <c r="B119" s="2" t="s">
        <v>419</v>
      </c>
      <c r="C119" s="2" t="str">
        <f>IFERROR(__xludf.DUMMYFUNCTION("GOOGLETRANSLATE(B119)"),"Climate Change Strategy (IAS) 2014-2024")</f>
        <v>Climate Change Strategy (IAS) 2014-2024</v>
      </c>
      <c r="D119" s="1" t="s">
        <v>414</v>
      </c>
      <c r="E119" s="1" t="s">
        <v>415</v>
      </c>
      <c r="F119" s="1" t="s">
        <v>144</v>
      </c>
      <c r="G119" s="1"/>
      <c r="H119" s="1">
        <v>2014.0</v>
      </c>
      <c r="I119" s="1" t="s">
        <v>416</v>
      </c>
      <c r="J119" s="1" t="s">
        <v>420</v>
      </c>
      <c r="K119" s="4" t="s">
        <v>421</v>
      </c>
      <c r="L119" s="1" t="s">
        <v>22</v>
      </c>
      <c r="N119" s="1" t="s">
        <v>23</v>
      </c>
    </row>
    <row r="120">
      <c r="B120" s="25"/>
      <c r="C120" s="25"/>
      <c r="F120" s="6"/>
    </row>
    <row r="121">
      <c r="B121" s="25"/>
      <c r="C121" s="25"/>
      <c r="F121" s="6"/>
    </row>
    <row r="122">
      <c r="B122" s="25"/>
      <c r="C122" s="25"/>
      <c r="F122" s="6"/>
    </row>
    <row r="123">
      <c r="B123" s="25"/>
      <c r="C123" s="25"/>
      <c r="F123" s="6"/>
    </row>
    <row r="124">
      <c r="B124" s="25"/>
      <c r="C124" s="25"/>
      <c r="F124" s="6"/>
    </row>
    <row r="125">
      <c r="B125" s="25"/>
      <c r="C125" s="25"/>
      <c r="F125" s="6"/>
    </row>
    <row r="126">
      <c r="B126" s="25"/>
      <c r="C126" s="25"/>
      <c r="F126" s="6"/>
    </row>
    <row r="127">
      <c r="B127" s="25"/>
      <c r="C127" s="25"/>
      <c r="F127" s="6"/>
    </row>
    <row r="128">
      <c r="B128" s="25"/>
      <c r="C128" s="25"/>
      <c r="F128" s="6"/>
    </row>
    <row r="129">
      <c r="B129" s="25"/>
      <c r="C129" s="25"/>
      <c r="F129" s="6"/>
    </row>
    <row r="130">
      <c r="B130" s="25"/>
      <c r="C130" s="25"/>
      <c r="F130" s="6"/>
    </row>
    <row r="131">
      <c r="B131" s="25"/>
      <c r="C131" s="25"/>
      <c r="F131" s="6"/>
    </row>
    <row r="132">
      <c r="B132" s="25"/>
      <c r="C132" s="25"/>
      <c r="F132" s="6"/>
    </row>
    <row r="133">
      <c r="B133" s="25"/>
      <c r="C133" s="25"/>
      <c r="F133" s="6"/>
    </row>
    <row r="134">
      <c r="B134" s="25"/>
      <c r="C134" s="25"/>
      <c r="F134" s="6"/>
    </row>
    <row r="135">
      <c r="B135" s="25"/>
      <c r="C135" s="25"/>
      <c r="F135" s="6"/>
    </row>
    <row r="136">
      <c r="B136" s="25"/>
      <c r="C136" s="25"/>
      <c r="F136" s="6"/>
    </row>
    <row r="137">
      <c r="B137" s="25"/>
      <c r="C137" s="25"/>
      <c r="F137" s="6"/>
    </row>
    <row r="138">
      <c r="B138" s="25"/>
      <c r="C138" s="25"/>
      <c r="F138" s="6"/>
    </row>
    <row r="139">
      <c r="B139" s="25"/>
      <c r="C139" s="25"/>
      <c r="F139" s="6"/>
    </row>
    <row r="140">
      <c r="B140" s="25"/>
      <c r="C140" s="25"/>
      <c r="F140" s="6"/>
    </row>
    <row r="141">
      <c r="B141" s="25"/>
      <c r="C141" s="25"/>
      <c r="F141" s="6"/>
    </row>
    <row r="142">
      <c r="B142" s="25"/>
      <c r="C142" s="25"/>
      <c r="F142" s="6"/>
    </row>
    <row r="143">
      <c r="B143" s="25"/>
      <c r="C143" s="25"/>
      <c r="F143" s="6"/>
    </row>
    <row r="144">
      <c r="B144" s="25"/>
      <c r="C144" s="25"/>
      <c r="F144" s="6"/>
    </row>
    <row r="145">
      <c r="B145" s="25"/>
      <c r="C145" s="25"/>
      <c r="F145" s="6"/>
    </row>
    <row r="146">
      <c r="B146" s="25"/>
      <c r="C146" s="25"/>
      <c r="F146" s="6"/>
    </row>
    <row r="147">
      <c r="B147" s="25"/>
      <c r="C147" s="25"/>
      <c r="F147" s="6"/>
    </row>
    <row r="148">
      <c r="B148" s="25"/>
      <c r="C148" s="25"/>
      <c r="F148" s="6"/>
    </row>
    <row r="149">
      <c r="B149" s="25"/>
      <c r="C149" s="25"/>
      <c r="F149" s="6"/>
    </row>
    <row r="150">
      <c r="B150" s="25"/>
      <c r="C150" s="25"/>
      <c r="F150" s="6"/>
    </row>
    <row r="151">
      <c r="B151" s="25"/>
      <c r="C151" s="25"/>
      <c r="F151" s="6"/>
    </row>
    <row r="152">
      <c r="B152" s="25"/>
      <c r="C152" s="25"/>
      <c r="F152" s="6"/>
    </row>
    <row r="153">
      <c r="B153" s="25"/>
      <c r="C153" s="25"/>
      <c r="F153" s="6"/>
    </row>
    <row r="154">
      <c r="B154" s="25"/>
      <c r="C154" s="25"/>
      <c r="F154" s="6"/>
    </row>
    <row r="155">
      <c r="B155" s="25"/>
      <c r="C155" s="25"/>
      <c r="F155" s="6"/>
    </row>
    <row r="156">
      <c r="B156" s="25"/>
      <c r="C156" s="25"/>
      <c r="F156" s="6"/>
    </row>
    <row r="157">
      <c r="B157" s="25"/>
      <c r="C157" s="25"/>
      <c r="F157" s="6"/>
    </row>
    <row r="158">
      <c r="B158" s="25"/>
      <c r="C158" s="25"/>
      <c r="F158" s="6"/>
    </row>
    <row r="159">
      <c r="B159" s="25"/>
      <c r="C159" s="25"/>
      <c r="F159" s="6"/>
    </row>
    <row r="160">
      <c r="B160" s="25"/>
      <c r="C160" s="25"/>
      <c r="F160" s="6"/>
    </row>
    <row r="161">
      <c r="B161" s="25"/>
      <c r="C161" s="25"/>
      <c r="F161" s="6"/>
    </row>
    <row r="162">
      <c r="B162" s="25"/>
      <c r="C162" s="25"/>
      <c r="F162" s="6"/>
    </row>
    <row r="163">
      <c r="B163" s="25"/>
      <c r="C163" s="25"/>
      <c r="F163" s="6"/>
    </row>
    <row r="164">
      <c r="B164" s="25"/>
      <c r="C164" s="25"/>
      <c r="F164" s="6"/>
    </row>
    <row r="165">
      <c r="B165" s="25"/>
      <c r="C165" s="25"/>
      <c r="F165" s="6"/>
    </row>
    <row r="166">
      <c r="B166" s="25"/>
      <c r="C166" s="25"/>
      <c r="F166" s="6"/>
    </row>
    <row r="167">
      <c r="B167" s="25"/>
      <c r="C167" s="25"/>
      <c r="F167" s="6"/>
    </row>
    <row r="168">
      <c r="B168" s="25"/>
      <c r="C168" s="25"/>
      <c r="F168" s="6"/>
    </row>
    <row r="169">
      <c r="B169" s="25"/>
      <c r="C169" s="25"/>
      <c r="F169" s="6"/>
    </row>
    <row r="170">
      <c r="B170" s="25"/>
      <c r="C170" s="25"/>
      <c r="F170" s="6"/>
    </row>
    <row r="171">
      <c r="B171" s="25"/>
      <c r="C171" s="25"/>
      <c r="F171" s="6"/>
    </row>
    <row r="172">
      <c r="B172" s="25"/>
      <c r="C172" s="25"/>
      <c r="F172" s="6"/>
    </row>
    <row r="173">
      <c r="B173" s="25"/>
      <c r="C173" s="25"/>
      <c r="F173" s="6"/>
    </row>
    <row r="174">
      <c r="B174" s="25"/>
      <c r="C174" s="25"/>
      <c r="F174" s="6"/>
    </row>
    <row r="175">
      <c r="B175" s="25"/>
      <c r="C175" s="25"/>
      <c r="F175" s="6"/>
    </row>
    <row r="176">
      <c r="B176" s="25"/>
      <c r="C176" s="25"/>
      <c r="F176" s="6"/>
    </row>
    <row r="177">
      <c r="B177" s="25"/>
      <c r="C177" s="25"/>
      <c r="F177" s="6"/>
    </row>
    <row r="178">
      <c r="B178" s="25"/>
      <c r="C178" s="25"/>
      <c r="F178" s="6"/>
    </row>
    <row r="179">
      <c r="B179" s="25"/>
      <c r="C179" s="25"/>
      <c r="F179" s="6"/>
    </row>
    <row r="180">
      <c r="B180" s="25"/>
      <c r="C180" s="25"/>
      <c r="F180" s="6"/>
    </row>
    <row r="181">
      <c r="B181" s="25"/>
      <c r="C181" s="25"/>
      <c r="F181" s="6"/>
    </row>
    <row r="182">
      <c r="B182" s="25"/>
      <c r="C182" s="25"/>
      <c r="F182" s="6"/>
    </row>
    <row r="183">
      <c r="B183" s="25"/>
      <c r="C183" s="25"/>
      <c r="F183" s="6"/>
    </row>
    <row r="184">
      <c r="B184" s="25"/>
      <c r="C184" s="25"/>
      <c r="F184" s="6"/>
    </row>
    <row r="185">
      <c r="B185" s="25"/>
      <c r="C185" s="25"/>
      <c r="F185" s="6"/>
    </row>
    <row r="186">
      <c r="B186" s="25"/>
      <c r="C186" s="25"/>
      <c r="F186" s="6"/>
    </row>
    <row r="187">
      <c r="B187" s="25"/>
      <c r="C187" s="25"/>
      <c r="F187" s="6"/>
    </row>
    <row r="188">
      <c r="B188" s="25"/>
      <c r="C188" s="25"/>
      <c r="F188" s="6"/>
    </row>
    <row r="189">
      <c r="B189" s="25"/>
      <c r="C189" s="25"/>
      <c r="F189" s="6"/>
    </row>
    <row r="190">
      <c r="B190" s="25"/>
      <c r="C190" s="25"/>
      <c r="F190" s="6"/>
    </row>
    <row r="191">
      <c r="B191" s="25"/>
      <c r="C191" s="25"/>
      <c r="F191" s="6"/>
    </row>
    <row r="192">
      <c r="B192" s="25"/>
      <c r="C192" s="25"/>
      <c r="F192" s="6"/>
    </row>
    <row r="193">
      <c r="B193" s="25"/>
      <c r="C193" s="25"/>
      <c r="F193" s="6"/>
    </row>
    <row r="194">
      <c r="B194" s="25"/>
      <c r="C194" s="25"/>
      <c r="F194" s="6"/>
    </row>
    <row r="195">
      <c r="B195" s="25"/>
      <c r="C195" s="25"/>
      <c r="F195" s="6"/>
    </row>
    <row r="196">
      <c r="B196" s="25"/>
      <c r="C196" s="25"/>
      <c r="F196" s="6"/>
    </row>
    <row r="197">
      <c r="B197" s="25"/>
      <c r="C197" s="25"/>
      <c r="F197" s="6"/>
    </row>
    <row r="198">
      <c r="B198" s="25"/>
      <c r="C198" s="25"/>
      <c r="F198" s="6"/>
    </row>
    <row r="199">
      <c r="B199" s="25"/>
      <c r="C199" s="25"/>
      <c r="F199" s="6"/>
    </row>
    <row r="200">
      <c r="B200" s="25"/>
      <c r="C200" s="25"/>
      <c r="F200" s="6"/>
    </row>
    <row r="201">
      <c r="B201" s="25"/>
      <c r="C201" s="25"/>
      <c r="F201" s="6"/>
    </row>
    <row r="202">
      <c r="B202" s="25"/>
      <c r="C202" s="25"/>
      <c r="F202" s="6"/>
    </row>
    <row r="203">
      <c r="B203" s="25"/>
      <c r="C203" s="25"/>
      <c r="F203" s="6"/>
    </row>
    <row r="204">
      <c r="B204" s="25"/>
      <c r="C204" s="25"/>
      <c r="F204" s="6"/>
    </row>
    <row r="205">
      <c r="B205" s="25"/>
      <c r="C205" s="25"/>
      <c r="F205" s="6"/>
    </row>
    <row r="206">
      <c r="B206" s="25"/>
      <c r="C206" s="25"/>
      <c r="F206" s="6"/>
    </row>
    <row r="207">
      <c r="B207" s="25"/>
      <c r="C207" s="25"/>
      <c r="F207" s="6"/>
    </row>
    <row r="208">
      <c r="B208" s="25"/>
      <c r="C208" s="25"/>
      <c r="F208" s="6"/>
    </row>
    <row r="209">
      <c r="B209" s="25"/>
      <c r="C209" s="25"/>
      <c r="F209" s="6"/>
    </row>
    <row r="210">
      <c r="B210" s="25"/>
      <c r="C210" s="25"/>
      <c r="F210" s="6"/>
    </row>
    <row r="211">
      <c r="B211" s="25"/>
      <c r="C211" s="25"/>
      <c r="F211" s="6"/>
    </row>
    <row r="212">
      <c r="B212" s="25"/>
      <c r="C212" s="25"/>
      <c r="F212" s="6"/>
    </row>
    <row r="213">
      <c r="B213" s="25"/>
      <c r="C213" s="25"/>
      <c r="F213" s="6"/>
    </row>
    <row r="214">
      <c r="B214" s="25"/>
      <c r="C214" s="25"/>
      <c r="F214" s="6"/>
    </row>
    <row r="215">
      <c r="B215" s="25"/>
      <c r="C215" s="25"/>
      <c r="F215" s="6"/>
    </row>
    <row r="216">
      <c r="B216" s="25"/>
      <c r="C216" s="25"/>
      <c r="F216" s="6"/>
    </row>
    <row r="217">
      <c r="B217" s="25"/>
      <c r="C217" s="25"/>
      <c r="F217" s="6"/>
    </row>
    <row r="218">
      <c r="B218" s="25"/>
      <c r="C218" s="25"/>
      <c r="F218" s="6"/>
    </row>
    <row r="219">
      <c r="B219" s="25"/>
      <c r="C219" s="25"/>
      <c r="F219" s="6"/>
    </row>
    <row r="220">
      <c r="B220" s="25"/>
      <c r="C220" s="25"/>
      <c r="F220" s="6"/>
    </row>
    <row r="221">
      <c r="B221" s="25"/>
      <c r="C221" s="25"/>
      <c r="F221" s="6"/>
    </row>
    <row r="222">
      <c r="B222" s="25"/>
      <c r="C222" s="25"/>
      <c r="F222" s="6"/>
    </row>
    <row r="223">
      <c r="B223" s="25"/>
      <c r="C223" s="25"/>
      <c r="F223" s="6"/>
    </row>
    <row r="224">
      <c r="B224" s="25"/>
      <c r="C224" s="25"/>
      <c r="F224" s="6"/>
    </row>
    <row r="225">
      <c r="B225" s="25"/>
      <c r="C225" s="25"/>
      <c r="F225" s="6"/>
    </row>
    <row r="226">
      <c r="B226" s="25"/>
      <c r="C226" s="25"/>
      <c r="F226" s="6"/>
    </row>
    <row r="227">
      <c r="B227" s="25"/>
      <c r="C227" s="25"/>
      <c r="F227" s="6"/>
    </row>
    <row r="228">
      <c r="B228" s="25"/>
      <c r="C228" s="25"/>
      <c r="F228" s="6"/>
    </row>
    <row r="229">
      <c r="B229" s="25"/>
      <c r="C229" s="25"/>
      <c r="F229" s="6"/>
    </row>
    <row r="230">
      <c r="B230" s="25"/>
      <c r="C230" s="25"/>
      <c r="F230" s="6"/>
    </row>
    <row r="231">
      <c r="B231" s="25"/>
      <c r="C231" s="25"/>
      <c r="F231" s="6"/>
    </row>
    <row r="232">
      <c r="B232" s="25"/>
      <c r="C232" s="25"/>
      <c r="F232" s="6"/>
    </row>
    <row r="233">
      <c r="B233" s="25"/>
      <c r="C233" s="25"/>
      <c r="F233" s="6"/>
    </row>
    <row r="234">
      <c r="B234" s="25"/>
      <c r="C234" s="25"/>
      <c r="F234" s="6"/>
    </row>
    <row r="235">
      <c r="B235" s="25"/>
      <c r="C235" s="25"/>
      <c r="F235" s="6"/>
    </row>
    <row r="236">
      <c r="B236" s="25"/>
      <c r="C236" s="25"/>
      <c r="F236" s="6"/>
    </row>
    <row r="237">
      <c r="B237" s="25"/>
      <c r="C237" s="25"/>
      <c r="F237" s="6"/>
    </row>
    <row r="238">
      <c r="B238" s="25"/>
      <c r="C238" s="25"/>
      <c r="F238" s="6"/>
    </row>
    <row r="239">
      <c r="B239" s="25"/>
      <c r="C239" s="25"/>
      <c r="F239" s="6"/>
    </row>
    <row r="240">
      <c r="B240" s="25"/>
      <c r="C240" s="25"/>
      <c r="F240" s="6"/>
    </row>
    <row r="241">
      <c r="B241" s="25"/>
      <c r="C241" s="25"/>
      <c r="F241" s="6"/>
    </row>
    <row r="242">
      <c r="B242" s="25"/>
      <c r="C242" s="25"/>
      <c r="F242" s="6"/>
    </row>
    <row r="243">
      <c r="B243" s="25"/>
      <c r="C243" s="25"/>
      <c r="F243" s="6"/>
    </row>
    <row r="244">
      <c r="B244" s="25"/>
      <c r="C244" s="25"/>
      <c r="F244" s="6"/>
    </row>
    <row r="245">
      <c r="B245" s="25"/>
      <c r="C245" s="25"/>
      <c r="F245" s="6"/>
    </row>
    <row r="246">
      <c r="B246" s="25"/>
      <c r="C246" s="25"/>
      <c r="F246" s="6"/>
    </row>
    <row r="247">
      <c r="B247" s="25"/>
      <c r="C247" s="25"/>
      <c r="F247" s="6"/>
    </row>
    <row r="248">
      <c r="B248" s="25"/>
      <c r="C248" s="25"/>
      <c r="F248" s="6"/>
    </row>
    <row r="249">
      <c r="B249" s="25"/>
      <c r="C249" s="25"/>
      <c r="F249" s="6"/>
    </row>
    <row r="250">
      <c r="B250" s="25"/>
      <c r="C250" s="25"/>
      <c r="F250" s="6"/>
    </row>
    <row r="251">
      <c r="B251" s="25"/>
      <c r="C251" s="25"/>
      <c r="F251" s="6"/>
    </row>
    <row r="252">
      <c r="B252" s="25"/>
      <c r="C252" s="25"/>
      <c r="F252" s="6"/>
    </row>
    <row r="253">
      <c r="B253" s="25"/>
      <c r="C253" s="25"/>
      <c r="F253" s="6"/>
    </row>
    <row r="254">
      <c r="B254" s="25"/>
      <c r="C254" s="25"/>
      <c r="F254" s="6"/>
    </row>
    <row r="255">
      <c r="B255" s="25"/>
      <c r="C255" s="25"/>
      <c r="F255" s="6"/>
    </row>
    <row r="256">
      <c r="B256" s="25"/>
      <c r="C256" s="25"/>
      <c r="F256" s="6"/>
    </row>
    <row r="257">
      <c r="B257" s="25"/>
      <c r="C257" s="25"/>
      <c r="F257" s="6"/>
    </row>
    <row r="258">
      <c r="B258" s="25"/>
      <c r="C258" s="25"/>
      <c r="F258" s="6"/>
    </row>
    <row r="259">
      <c r="B259" s="25"/>
      <c r="C259" s="25"/>
      <c r="F259" s="6"/>
    </row>
    <row r="260">
      <c r="B260" s="25"/>
      <c r="C260" s="25"/>
      <c r="F260" s="6"/>
    </row>
    <row r="261">
      <c r="B261" s="25"/>
      <c r="C261" s="25"/>
      <c r="F261" s="6"/>
    </row>
    <row r="262">
      <c r="B262" s="25"/>
      <c r="C262" s="25"/>
      <c r="F262" s="6"/>
    </row>
    <row r="263">
      <c r="B263" s="25"/>
      <c r="C263" s="25"/>
      <c r="F263" s="6"/>
    </row>
    <row r="264">
      <c r="B264" s="25"/>
      <c r="C264" s="25"/>
      <c r="F264" s="6"/>
    </row>
    <row r="265">
      <c r="B265" s="25"/>
      <c r="C265" s="25"/>
      <c r="F265" s="6"/>
    </row>
    <row r="266">
      <c r="B266" s="25"/>
      <c r="C266" s="25"/>
      <c r="F266" s="6"/>
    </row>
    <row r="267">
      <c r="B267" s="25"/>
      <c r="C267" s="25"/>
      <c r="F267" s="6"/>
    </row>
    <row r="268">
      <c r="B268" s="25"/>
      <c r="C268" s="25"/>
      <c r="F268" s="6"/>
    </row>
    <row r="269">
      <c r="B269" s="25"/>
      <c r="C269" s="25"/>
      <c r="F269" s="6"/>
    </row>
    <row r="270">
      <c r="B270" s="25"/>
      <c r="C270" s="25"/>
      <c r="F270" s="6"/>
    </row>
    <row r="271">
      <c r="B271" s="25"/>
      <c r="C271" s="25"/>
      <c r="F271" s="6"/>
    </row>
    <row r="272">
      <c r="B272" s="25"/>
      <c r="C272" s="25"/>
      <c r="F272" s="6"/>
    </row>
    <row r="273">
      <c r="B273" s="25"/>
      <c r="C273" s="25"/>
      <c r="F273" s="6"/>
    </row>
    <row r="274">
      <c r="B274" s="25"/>
      <c r="C274" s="25"/>
      <c r="F274" s="6"/>
    </row>
    <row r="275">
      <c r="B275" s="25"/>
      <c r="C275" s="25"/>
      <c r="F275" s="6"/>
    </row>
    <row r="276">
      <c r="B276" s="25"/>
      <c r="C276" s="25"/>
      <c r="F276" s="6"/>
    </row>
    <row r="277">
      <c r="B277" s="25"/>
      <c r="C277" s="25"/>
      <c r="F277" s="6"/>
    </row>
    <row r="278">
      <c r="B278" s="25"/>
      <c r="C278" s="25"/>
      <c r="F278" s="6"/>
    </row>
    <row r="279">
      <c r="B279" s="25"/>
      <c r="C279" s="25"/>
      <c r="F279" s="6"/>
    </row>
    <row r="280">
      <c r="B280" s="25"/>
      <c r="C280" s="25"/>
      <c r="F280" s="6"/>
    </row>
    <row r="281">
      <c r="B281" s="25"/>
      <c r="C281" s="25"/>
      <c r="F281" s="6"/>
    </row>
    <row r="282">
      <c r="B282" s="25"/>
      <c r="C282" s="25"/>
      <c r="F282" s="6"/>
    </row>
    <row r="283">
      <c r="B283" s="25"/>
      <c r="C283" s="25"/>
      <c r="F283" s="6"/>
    </row>
    <row r="284">
      <c r="B284" s="25"/>
      <c r="C284" s="25"/>
      <c r="F284" s="6"/>
    </row>
    <row r="285">
      <c r="B285" s="25"/>
      <c r="C285" s="25"/>
      <c r="F285" s="6"/>
    </row>
    <row r="286">
      <c r="B286" s="25"/>
      <c r="C286" s="25"/>
      <c r="F286" s="6"/>
    </row>
    <row r="287">
      <c r="B287" s="25"/>
      <c r="C287" s="25"/>
      <c r="F287" s="6"/>
    </row>
    <row r="288">
      <c r="B288" s="25"/>
      <c r="C288" s="25"/>
      <c r="F288" s="6"/>
    </row>
    <row r="289">
      <c r="B289" s="25"/>
      <c r="C289" s="25"/>
      <c r="F289" s="6"/>
    </row>
    <row r="290">
      <c r="B290" s="25"/>
      <c r="C290" s="25"/>
      <c r="F290" s="6"/>
    </row>
    <row r="291">
      <c r="B291" s="25"/>
      <c r="C291" s="25"/>
      <c r="F291" s="6"/>
    </row>
    <row r="292">
      <c r="B292" s="25"/>
      <c r="C292" s="25"/>
      <c r="F292" s="6"/>
    </row>
    <row r="293">
      <c r="B293" s="25"/>
      <c r="C293" s="25"/>
      <c r="F293" s="6"/>
    </row>
    <row r="294">
      <c r="B294" s="25"/>
      <c r="C294" s="25"/>
      <c r="F294" s="6"/>
    </row>
    <row r="295">
      <c r="B295" s="25"/>
      <c r="C295" s="25"/>
      <c r="F295" s="6"/>
    </row>
    <row r="296">
      <c r="B296" s="25"/>
      <c r="C296" s="25"/>
      <c r="F296" s="6"/>
    </row>
    <row r="297">
      <c r="B297" s="25"/>
      <c r="C297" s="25"/>
      <c r="F297" s="6"/>
    </row>
    <row r="298">
      <c r="B298" s="25"/>
      <c r="C298" s="25"/>
      <c r="F298" s="6"/>
    </row>
    <row r="299">
      <c r="B299" s="25"/>
      <c r="C299" s="25"/>
      <c r="F299" s="6"/>
    </row>
    <row r="300">
      <c r="B300" s="25"/>
      <c r="C300" s="25"/>
      <c r="F300" s="6"/>
    </row>
    <row r="301">
      <c r="B301" s="25"/>
      <c r="C301" s="25"/>
      <c r="F301" s="6"/>
    </row>
    <row r="302">
      <c r="B302" s="25"/>
      <c r="C302" s="25"/>
      <c r="F302" s="6"/>
    </row>
    <row r="303">
      <c r="B303" s="25"/>
      <c r="C303" s="25"/>
      <c r="F303" s="6"/>
    </row>
    <row r="304">
      <c r="B304" s="25"/>
      <c r="C304" s="25"/>
      <c r="F304" s="6"/>
    </row>
    <row r="305">
      <c r="B305" s="25"/>
      <c r="C305" s="25"/>
      <c r="F305" s="6"/>
    </row>
    <row r="306">
      <c r="B306" s="25"/>
      <c r="C306" s="25"/>
      <c r="F306" s="6"/>
    </row>
    <row r="307">
      <c r="B307" s="25"/>
      <c r="C307" s="25"/>
      <c r="F307" s="6"/>
    </row>
    <row r="308">
      <c r="B308" s="25"/>
      <c r="C308" s="25"/>
      <c r="F308" s="6"/>
    </row>
    <row r="309">
      <c r="B309" s="25"/>
      <c r="C309" s="25"/>
      <c r="F309" s="6"/>
    </row>
    <row r="310">
      <c r="B310" s="25"/>
      <c r="C310" s="25"/>
      <c r="F310" s="6"/>
    </row>
    <row r="311">
      <c r="B311" s="25"/>
      <c r="C311" s="25"/>
      <c r="F311" s="6"/>
    </row>
    <row r="312">
      <c r="B312" s="25"/>
      <c r="C312" s="25"/>
      <c r="F312" s="6"/>
    </row>
    <row r="313">
      <c r="B313" s="25"/>
      <c r="C313" s="25"/>
      <c r="F313" s="6"/>
    </row>
    <row r="314">
      <c r="B314" s="25"/>
      <c r="C314" s="25"/>
      <c r="F314" s="6"/>
    </row>
    <row r="315">
      <c r="B315" s="25"/>
      <c r="C315" s="25"/>
      <c r="F315" s="6"/>
    </row>
    <row r="316">
      <c r="B316" s="25"/>
      <c r="C316" s="25"/>
      <c r="F316" s="6"/>
    </row>
    <row r="317">
      <c r="B317" s="25"/>
      <c r="C317" s="25"/>
      <c r="F317" s="6"/>
    </row>
    <row r="318">
      <c r="B318" s="25"/>
      <c r="C318" s="25"/>
      <c r="F318" s="6"/>
    </row>
    <row r="319">
      <c r="B319" s="25"/>
      <c r="C319" s="25"/>
      <c r="F319" s="6"/>
    </row>
    <row r="320">
      <c r="B320" s="25"/>
      <c r="C320" s="25"/>
      <c r="F320" s="6"/>
    </row>
    <row r="321">
      <c r="B321" s="25"/>
      <c r="C321" s="25"/>
      <c r="F321" s="6"/>
    </row>
    <row r="322">
      <c r="B322" s="25"/>
      <c r="C322" s="25"/>
      <c r="F322" s="6"/>
    </row>
    <row r="323">
      <c r="B323" s="25"/>
      <c r="C323" s="25"/>
      <c r="F323" s="6"/>
    </row>
    <row r="324">
      <c r="B324" s="25"/>
      <c r="C324" s="25"/>
      <c r="F324" s="6"/>
    </row>
    <row r="325">
      <c r="B325" s="25"/>
      <c r="C325" s="25"/>
      <c r="F325" s="6"/>
    </row>
    <row r="326">
      <c r="B326" s="25"/>
      <c r="C326" s="25"/>
      <c r="F326" s="6"/>
    </row>
    <row r="327">
      <c r="B327" s="25"/>
      <c r="C327" s="25"/>
      <c r="F327" s="6"/>
    </row>
    <row r="328">
      <c r="B328" s="25"/>
      <c r="C328" s="25"/>
      <c r="F328" s="6"/>
    </row>
    <row r="329">
      <c r="B329" s="25"/>
      <c r="C329" s="25"/>
      <c r="F329" s="6"/>
    </row>
    <row r="330">
      <c r="B330" s="25"/>
      <c r="C330" s="25"/>
      <c r="F330" s="6"/>
    </row>
    <row r="331">
      <c r="B331" s="25"/>
      <c r="C331" s="25"/>
      <c r="F331" s="6"/>
    </row>
    <row r="332">
      <c r="B332" s="25"/>
      <c r="C332" s="25"/>
      <c r="F332" s="6"/>
    </row>
    <row r="333">
      <c r="B333" s="25"/>
      <c r="C333" s="25"/>
      <c r="F333" s="6"/>
    </row>
    <row r="334">
      <c r="B334" s="25"/>
      <c r="C334" s="25"/>
      <c r="F334" s="6"/>
    </row>
    <row r="335">
      <c r="B335" s="25"/>
      <c r="C335" s="25"/>
      <c r="F335" s="6"/>
    </row>
    <row r="336">
      <c r="B336" s="25"/>
      <c r="C336" s="25"/>
      <c r="F336" s="6"/>
    </row>
    <row r="337">
      <c r="B337" s="25"/>
      <c r="C337" s="25"/>
      <c r="F337" s="6"/>
    </row>
    <row r="338">
      <c r="B338" s="25"/>
      <c r="C338" s="25"/>
      <c r="F338" s="6"/>
    </row>
    <row r="339">
      <c r="B339" s="25"/>
      <c r="C339" s="25"/>
      <c r="F339" s="6"/>
    </row>
    <row r="340">
      <c r="B340" s="25"/>
      <c r="C340" s="25"/>
      <c r="F340" s="6"/>
    </row>
    <row r="341">
      <c r="B341" s="25"/>
      <c r="C341" s="25"/>
      <c r="F341" s="6"/>
    </row>
    <row r="342">
      <c r="B342" s="25"/>
      <c r="C342" s="25"/>
      <c r="F342" s="6"/>
    </row>
    <row r="343">
      <c r="B343" s="25"/>
      <c r="C343" s="25"/>
      <c r="F343" s="6"/>
    </row>
    <row r="344">
      <c r="B344" s="25"/>
      <c r="C344" s="25"/>
      <c r="F344" s="6"/>
    </row>
    <row r="345">
      <c r="B345" s="25"/>
      <c r="C345" s="25"/>
      <c r="F345" s="6"/>
    </row>
    <row r="346">
      <c r="B346" s="25"/>
      <c r="C346" s="25"/>
      <c r="F346" s="6"/>
    </row>
    <row r="347">
      <c r="B347" s="25"/>
      <c r="C347" s="25"/>
      <c r="F347" s="6"/>
    </row>
    <row r="348">
      <c r="B348" s="25"/>
      <c r="C348" s="25"/>
      <c r="F348" s="6"/>
    </row>
    <row r="349">
      <c r="B349" s="25"/>
      <c r="C349" s="25"/>
      <c r="F349" s="6"/>
    </row>
    <row r="350">
      <c r="B350" s="25"/>
      <c r="C350" s="25"/>
      <c r="F350" s="6"/>
    </row>
    <row r="351">
      <c r="B351" s="25"/>
      <c r="C351" s="25"/>
      <c r="F351" s="6"/>
    </row>
    <row r="352">
      <c r="B352" s="25"/>
      <c r="C352" s="25"/>
      <c r="F352" s="6"/>
    </row>
    <row r="353">
      <c r="B353" s="25"/>
      <c r="C353" s="25"/>
      <c r="F353" s="6"/>
    </row>
    <row r="354">
      <c r="B354" s="25"/>
      <c r="C354" s="25"/>
      <c r="F354" s="6"/>
    </row>
    <row r="355">
      <c r="B355" s="25"/>
      <c r="C355" s="25"/>
      <c r="F355" s="6"/>
    </row>
    <row r="356">
      <c r="B356" s="25"/>
      <c r="C356" s="25"/>
      <c r="F356" s="6"/>
    </row>
    <row r="357">
      <c r="B357" s="25"/>
      <c r="C357" s="25"/>
      <c r="F357" s="6"/>
    </row>
    <row r="358">
      <c r="B358" s="25"/>
      <c r="C358" s="25"/>
      <c r="F358" s="6"/>
    </row>
    <row r="359">
      <c r="B359" s="25"/>
      <c r="C359" s="25"/>
      <c r="F359" s="6"/>
    </row>
    <row r="360">
      <c r="B360" s="25"/>
      <c r="C360" s="25"/>
      <c r="F360" s="6"/>
    </row>
    <row r="361">
      <c r="B361" s="25"/>
      <c r="C361" s="25"/>
      <c r="F361" s="6"/>
    </row>
    <row r="362">
      <c r="B362" s="25"/>
      <c r="C362" s="25"/>
      <c r="F362" s="6"/>
    </row>
    <row r="363">
      <c r="B363" s="25"/>
      <c r="C363" s="25"/>
      <c r="F363" s="6"/>
    </row>
    <row r="364">
      <c r="B364" s="25"/>
      <c r="C364" s="25"/>
      <c r="F364" s="6"/>
    </row>
    <row r="365">
      <c r="B365" s="25"/>
      <c r="C365" s="25"/>
      <c r="F365" s="6"/>
    </row>
    <row r="366">
      <c r="B366" s="25"/>
      <c r="C366" s="25"/>
      <c r="F366" s="6"/>
    </row>
    <row r="367">
      <c r="B367" s="25"/>
      <c r="C367" s="25"/>
      <c r="F367" s="6"/>
    </row>
    <row r="368">
      <c r="B368" s="25"/>
      <c r="C368" s="25"/>
      <c r="F368" s="6"/>
    </row>
    <row r="369">
      <c r="B369" s="25"/>
      <c r="C369" s="25"/>
      <c r="F369" s="6"/>
    </row>
    <row r="370">
      <c r="B370" s="25"/>
      <c r="C370" s="25"/>
      <c r="F370" s="6"/>
    </row>
    <row r="371">
      <c r="B371" s="25"/>
      <c r="C371" s="25"/>
      <c r="F371" s="6"/>
    </row>
    <row r="372">
      <c r="B372" s="25"/>
      <c r="C372" s="25"/>
      <c r="F372" s="6"/>
    </row>
    <row r="373">
      <c r="B373" s="25"/>
      <c r="C373" s="25"/>
      <c r="F373" s="6"/>
    </row>
    <row r="374">
      <c r="B374" s="25"/>
      <c r="C374" s="25"/>
      <c r="F374" s="6"/>
    </row>
    <row r="375">
      <c r="B375" s="25"/>
      <c r="C375" s="25"/>
      <c r="F375" s="6"/>
    </row>
    <row r="376">
      <c r="B376" s="25"/>
      <c r="C376" s="25"/>
      <c r="F376" s="6"/>
    </row>
    <row r="377">
      <c r="B377" s="25"/>
      <c r="C377" s="25"/>
      <c r="F377" s="6"/>
    </row>
    <row r="378">
      <c r="B378" s="25"/>
      <c r="C378" s="25"/>
      <c r="F378" s="6"/>
    </row>
    <row r="379">
      <c r="B379" s="25"/>
      <c r="C379" s="25"/>
      <c r="F379" s="6"/>
    </row>
    <row r="380">
      <c r="B380" s="25"/>
      <c r="C380" s="25"/>
      <c r="F380" s="6"/>
    </row>
    <row r="381">
      <c r="B381" s="25"/>
      <c r="C381" s="25"/>
      <c r="F381" s="6"/>
    </row>
    <row r="382">
      <c r="B382" s="25"/>
      <c r="C382" s="25"/>
      <c r="F382" s="6"/>
    </row>
    <row r="383">
      <c r="B383" s="25"/>
      <c r="C383" s="25"/>
      <c r="F383" s="6"/>
    </row>
    <row r="384">
      <c r="B384" s="25"/>
      <c r="C384" s="25"/>
      <c r="F384" s="6"/>
    </row>
    <row r="385">
      <c r="B385" s="25"/>
      <c r="C385" s="25"/>
      <c r="F385" s="6"/>
    </row>
    <row r="386">
      <c r="B386" s="25"/>
      <c r="C386" s="25"/>
      <c r="F386" s="6"/>
    </row>
    <row r="387">
      <c r="B387" s="25"/>
      <c r="C387" s="25"/>
      <c r="F387" s="6"/>
    </row>
    <row r="388">
      <c r="B388" s="25"/>
      <c r="C388" s="25"/>
      <c r="F388" s="6"/>
    </row>
    <row r="389">
      <c r="B389" s="25"/>
      <c r="C389" s="25"/>
      <c r="F389" s="6"/>
    </row>
    <row r="390">
      <c r="B390" s="25"/>
      <c r="C390" s="25"/>
      <c r="F390" s="6"/>
    </row>
    <row r="391">
      <c r="B391" s="25"/>
      <c r="C391" s="25"/>
      <c r="F391" s="6"/>
    </row>
    <row r="392">
      <c r="B392" s="25"/>
      <c r="C392" s="25"/>
      <c r="F392" s="6"/>
    </row>
    <row r="393">
      <c r="B393" s="25"/>
      <c r="C393" s="25"/>
      <c r="F393" s="6"/>
    </row>
    <row r="394">
      <c r="B394" s="25"/>
      <c r="C394" s="25"/>
      <c r="F394" s="6"/>
    </row>
    <row r="395">
      <c r="B395" s="25"/>
      <c r="C395" s="25"/>
      <c r="F395" s="6"/>
    </row>
    <row r="396">
      <c r="B396" s="25"/>
      <c r="C396" s="25"/>
      <c r="F396" s="6"/>
    </row>
    <row r="397">
      <c r="B397" s="25"/>
      <c r="C397" s="25"/>
      <c r="F397" s="6"/>
    </row>
    <row r="398">
      <c r="B398" s="25"/>
      <c r="C398" s="25"/>
      <c r="F398" s="6"/>
    </row>
    <row r="399">
      <c r="B399" s="25"/>
      <c r="C399" s="25"/>
      <c r="F399" s="6"/>
    </row>
    <row r="400">
      <c r="B400" s="25"/>
      <c r="C400" s="25"/>
      <c r="F400" s="6"/>
    </row>
    <row r="401">
      <c r="B401" s="25"/>
      <c r="C401" s="25"/>
      <c r="F401" s="6"/>
    </row>
    <row r="402">
      <c r="B402" s="25"/>
      <c r="C402" s="25"/>
      <c r="F402" s="6"/>
    </row>
    <row r="403">
      <c r="B403" s="25"/>
      <c r="C403" s="25"/>
      <c r="F403" s="6"/>
    </row>
    <row r="404">
      <c r="B404" s="25"/>
      <c r="C404" s="25"/>
      <c r="F404" s="6"/>
    </row>
    <row r="405">
      <c r="B405" s="25"/>
      <c r="C405" s="25"/>
      <c r="F405" s="6"/>
    </row>
    <row r="406">
      <c r="B406" s="25"/>
      <c r="C406" s="25"/>
      <c r="F406" s="6"/>
    </row>
    <row r="407">
      <c r="B407" s="25"/>
      <c r="C407" s="25"/>
      <c r="F407" s="6"/>
    </row>
    <row r="408">
      <c r="B408" s="25"/>
      <c r="C408" s="25"/>
      <c r="F408" s="6"/>
    </row>
    <row r="409">
      <c r="B409" s="25"/>
      <c r="C409" s="25"/>
      <c r="F409" s="6"/>
    </row>
    <row r="410">
      <c r="B410" s="25"/>
      <c r="C410" s="25"/>
      <c r="F410" s="6"/>
    </row>
    <row r="411">
      <c r="B411" s="25"/>
      <c r="C411" s="25"/>
      <c r="F411" s="6"/>
    </row>
    <row r="412">
      <c r="B412" s="25"/>
      <c r="C412" s="25"/>
      <c r="F412" s="6"/>
    </row>
    <row r="413">
      <c r="B413" s="25"/>
      <c r="C413" s="25"/>
      <c r="F413" s="6"/>
    </row>
    <row r="414">
      <c r="B414" s="25"/>
      <c r="C414" s="25"/>
      <c r="F414" s="6"/>
    </row>
    <row r="415">
      <c r="B415" s="25"/>
      <c r="C415" s="25"/>
      <c r="F415" s="6"/>
    </row>
    <row r="416">
      <c r="B416" s="25"/>
      <c r="C416" s="25"/>
      <c r="F416" s="6"/>
    </row>
    <row r="417">
      <c r="B417" s="25"/>
      <c r="C417" s="25"/>
      <c r="F417" s="6"/>
    </row>
    <row r="418">
      <c r="B418" s="25"/>
      <c r="C418" s="25"/>
      <c r="F418" s="6"/>
    </row>
    <row r="419">
      <c r="B419" s="25"/>
      <c r="C419" s="25"/>
      <c r="F419" s="6"/>
    </row>
    <row r="420">
      <c r="B420" s="25"/>
      <c r="C420" s="25"/>
      <c r="F420" s="6"/>
    </row>
    <row r="421">
      <c r="B421" s="25"/>
      <c r="C421" s="25"/>
      <c r="F421" s="6"/>
    </row>
    <row r="422">
      <c r="B422" s="25"/>
      <c r="C422" s="25"/>
      <c r="F422" s="6"/>
    </row>
    <row r="423">
      <c r="B423" s="25"/>
      <c r="C423" s="25"/>
      <c r="F423" s="6"/>
    </row>
    <row r="424">
      <c r="B424" s="25"/>
      <c r="C424" s="25"/>
      <c r="F424" s="6"/>
    </row>
    <row r="425">
      <c r="B425" s="25"/>
      <c r="C425" s="25"/>
      <c r="F425" s="6"/>
    </row>
    <row r="426">
      <c r="B426" s="25"/>
      <c r="C426" s="25"/>
      <c r="F426" s="6"/>
    </row>
    <row r="427">
      <c r="B427" s="25"/>
      <c r="C427" s="25"/>
      <c r="F427" s="6"/>
    </row>
    <row r="428">
      <c r="B428" s="25"/>
      <c r="C428" s="25"/>
      <c r="F428" s="6"/>
    </row>
    <row r="429">
      <c r="B429" s="25"/>
      <c r="C429" s="25"/>
      <c r="F429" s="6"/>
    </row>
    <row r="430">
      <c r="B430" s="25"/>
      <c r="C430" s="25"/>
      <c r="F430" s="6"/>
    </row>
    <row r="431">
      <c r="B431" s="25"/>
      <c r="C431" s="25"/>
      <c r="F431" s="6"/>
    </row>
    <row r="432">
      <c r="B432" s="25"/>
      <c r="C432" s="25"/>
      <c r="F432" s="6"/>
    </row>
    <row r="433">
      <c r="B433" s="25"/>
      <c r="C433" s="25"/>
      <c r="F433" s="6"/>
    </row>
    <row r="434">
      <c r="B434" s="25"/>
      <c r="C434" s="25"/>
      <c r="F434" s="6"/>
    </row>
    <row r="435">
      <c r="B435" s="25"/>
      <c r="C435" s="25"/>
      <c r="F435" s="6"/>
    </row>
    <row r="436">
      <c r="B436" s="25"/>
      <c r="C436" s="25"/>
      <c r="F436" s="6"/>
    </row>
    <row r="437">
      <c r="B437" s="25"/>
      <c r="C437" s="25"/>
      <c r="F437" s="6"/>
    </row>
    <row r="438">
      <c r="B438" s="25"/>
      <c r="C438" s="25"/>
      <c r="F438" s="6"/>
    </row>
    <row r="439">
      <c r="B439" s="25"/>
      <c r="C439" s="25"/>
      <c r="F439" s="6"/>
    </row>
    <row r="440">
      <c r="B440" s="25"/>
      <c r="C440" s="25"/>
      <c r="F440" s="6"/>
    </row>
    <row r="441">
      <c r="B441" s="25"/>
      <c r="C441" s="25"/>
      <c r="F441" s="6"/>
    </row>
    <row r="442">
      <c r="B442" s="25"/>
      <c r="C442" s="25"/>
      <c r="F442" s="6"/>
    </row>
    <row r="443">
      <c r="B443" s="25"/>
      <c r="C443" s="25"/>
      <c r="F443" s="6"/>
    </row>
    <row r="444">
      <c r="B444" s="25"/>
      <c r="C444" s="25"/>
      <c r="F444" s="6"/>
    </row>
    <row r="445">
      <c r="B445" s="25"/>
      <c r="C445" s="25"/>
      <c r="F445" s="6"/>
    </row>
    <row r="446">
      <c r="B446" s="25"/>
      <c r="C446" s="25"/>
      <c r="F446" s="6"/>
    </row>
    <row r="447">
      <c r="B447" s="25"/>
      <c r="C447" s="25"/>
      <c r="F447" s="6"/>
    </row>
    <row r="448">
      <c r="B448" s="25"/>
      <c r="C448" s="25"/>
      <c r="F448" s="6"/>
    </row>
    <row r="449">
      <c r="B449" s="25"/>
      <c r="C449" s="25"/>
      <c r="F449" s="6"/>
    </row>
    <row r="450">
      <c r="B450" s="25"/>
      <c r="C450" s="25"/>
      <c r="F450" s="6"/>
    </row>
    <row r="451">
      <c r="B451" s="25"/>
      <c r="C451" s="25"/>
      <c r="F451" s="6"/>
    </row>
    <row r="452">
      <c r="B452" s="25"/>
      <c r="C452" s="25"/>
      <c r="F452" s="6"/>
    </row>
    <row r="453">
      <c r="B453" s="25"/>
      <c r="C453" s="25"/>
      <c r="F453" s="6"/>
    </row>
    <row r="454">
      <c r="B454" s="25"/>
      <c r="C454" s="25"/>
      <c r="F454" s="6"/>
    </row>
    <row r="455">
      <c r="B455" s="25"/>
      <c r="C455" s="25"/>
      <c r="F455" s="6"/>
    </row>
    <row r="456">
      <c r="B456" s="25"/>
      <c r="C456" s="25"/>
      <c r="F456" s="6"/>
    </row>
    <row r="457">
      <c r="B457" s="25"/>
      <c r="C457" s="25"/>
      <c r="F457" s="6"/>
    </row>
    <row r="458">
      <c r="B458" s="25"/>
      <c r="C458" s="25"/>
      <c r="F458" s="6"/>
    </row>
    <row r="459">
      <c r="B459" s="25"/>
      <c r="C459" s="25"/>
      <c r="F459" s="6"/>
    </row>
    <row r="460">
      <c r="B460" s="25"/>
      <c r="C460" s="25"/>
      <c r="F460" s="6"/>
    </row>
    <row r="461">
      <c r="B461" s="25"/>
      <c r="C461" s="25"/>
      <c r="F461" s="6"/>
    </row>
    <row r="462">
      <c r="B462" s="25"/>
      <c r="C462" s="25"/>
      <c r="F462" s="6"/>
    </row>
    <row r="463">
      <c r="B463" s="25"/>
      <c r="C463" s="25"/>
      <c r="F463" s="6"/>
    </row>
    <row r="464">
      <c r="B464" s="25"/>
      <c r="C464" s="25"/>
      <c r="F464" s="6"/>
    </row>
    <row r="465">
      <c r="B465" s="25"/>
      <c r="C465" s="25"/>
      <c r="F465" s="6"/>
    </row>
    <row r="466">
      <c r="B466" s="25"/>
      <c r="C466" s="25"/>
      <c r="F466" s="6"/>
    </row>
    <row r="467">
      <c r="B467" s="25"/>
      <c r="C467" s="25"/>
      <c r="F467" s="6"/>
    </row>
    <row r="468">
      <c r="B468" s="25"/>
      <c r="C468" s="25"/>
      <c r="F468" s="6"/>
    </row>
    <row r="469">
      <c r="B469" s="25"/>
      <c r="C469" s="25"/>
      <c r="F469" s="6"/>
    </row>
    <row r="470">
      <c r="B470" s="25"/>
      <c r="C470" s="25"/>
      <c r="F470" s="6"/>
    </row>
    <row r="471">
      <c r="B471" s="25"/>
      <c r="C471" s="25"/>
      <c r="F471" s="6"/>
    </row>
    <row r="472">
      <c r="B472" s="25"/>
      <c r="C472" s="25"/>
      <c r="F472" s="6"/>
    </row>
    <row r="473">
      <c r="B473" s="25"/>
      <c r="C473" s="25"/>
      <c r="F473" s="6"/>
    </row>
    <row r="474">
      <c r="B474" s="25"/>
      <c r="C474" s="25"/>
      <c r="F474" s="6"/>
    </row>
    <row r="475">
      <c r="B475" s="25"/>
      <c r="C475" s="25"/>
      <c r="F475" s="6"/>
    </row>
    <row r="476">
      <c r="B476" s="25"/>
      <c r="C476" s="25"/>
      <c r="F476" s="6"/>
    </row>
    <row r="477">
      <c r="B477" s="25"/>
      <c r="C477" s="25"/>
      <c r="F477" s="6"/>
    </row>
    <row r="478">
      <c r="B478" s="25"/>
      <c r="C478" s="25"/>
      <c r="F478" s="6"/>
    </row>
    <row r="479">
      <c r="B479" s="25"/>
      <c r="C479" s="25"/>
      <c r="F479" s="6"/>
    </row>
    <row r="480">
      <c r="B480" s="25"/>
      <c r="C480" s="25"/>
      <c r="F480" s="6"/>
    </row>
    <row r="481">
      <c r="B481" s="25"/>
      <c r="C481" s="25"/>
      <c r="F481" s="6"/>
    </row>
    <row r="482">
      <c r="B482" s="25"/>
      <c r="C482" s="25"/>
      <c r="F482" s="6"/>
    </row>
    <row r="483">
      <c r="B483" s="25"/>
      <c r="C483" s="25"/>
      <c r="F483" s="6"/>
    </row>
    <row r="484">
      <c r="B484" s="25"/>
      <c r="C484" s="25"/>
      <c r="F484" s="6"/>
    </row>
    <row r="485">
      <c r="B485" s="25"/>
      <c r="C485" s="25"/>
      <c r="F485" s="6"/>
    </row>
    <row r="486">
      <c r="B486" s="25"/>
      <c r="C486" s="25"/>
      <c r="F486" s="6"/>
    </row>
    <row r="487">
      <c r="B487" s="25"/>
      <c r="C487" s="25"/>
      <c r="F487" s="6"/>
    </row>
    <row r="488">
      <c r="B488" s="25"/>
      <c r="C488" s="25"/>
      <c r="F488" s="6"/>
    </row>
    <row r="489">
      <c r="B489" s="25"/>
      <c r="C489" s="25"/>
      <c r="F489" s="6"/>
    </row>
    <row r="490">
      <c r="B490" s="25"/>
      <c r="C490" s="25"/>
      <c r="F490" s="6"/>
    </row>
    <row r="491">
      <c r="B491" s="25"/>
      <c r="C491" s="25"/>
      <c r="F491" s="6"/>
    </row>
    <row r="492">
      <c r="B492" s="25"/>
      <c r="C492" s="25"/>
      <c r="F492" s="6"/>
    </row>
    <row r="493">
      <c r="B493" s="25"/>
      <c r="C493" s="25"/>
      <c r="F493" s="6"/>
    </row>
    <row r="494">
      <c r="B494" s="25"/>
      <c r="C494" s="25"/>
      <c r="F494" s="6"/>
    </row>
    <row r="495">
      <c r="B495" s="25"/>
      <c r="C495" s="25"/>
      <c r="F495" s="6"/>
    </row>
    <row r="496">
      <c r="B496" s="25"/>
      <c r="C496" s="25"/>
      <c r="F496" s="6"/>
    </row>
    <row r="497">
      <c r="B497" s="25"/>
      <c r="C497" s="25"/>
      <c r="F497" s="6"/>
    </row>
    <row r="498">
      <c r="B498" s="25"/>
      <c r="C498" s="25"/>
      <c r="F498" s="6"/>
    </row>
    <row r="499">
      <c r="B499" s="25"/>
      <c r="C499" s="25"/>
      <c r="F499" s="6"/>
    </row>
    <row r="500">
      <c r="B500" s="25"/>
      <c r="C500" s="25"/>
      <c r="F500" s="6"/>
    </row>
    <row r="501">
      <c r="B501" s="25"/>
      <c r="C501" s="25"/>
      <c r="F501" s="6"/>
    </row>
    <row r="502">
      <c r="B502" s="25"/>
      <c r="C502" s="25"/>
      <c r="F502" s="6"/>
    </row>
    <row r="503">
      <c r="B503" s="25"/>
      <c r="C503" s="25"/>
      <c r="F503" s="6"/>
    </row>
    <row r="504">
      <c r="B504" s="25"/>
      <c r="C504" s="25"/>
      <c r="F504" s="6"/>
    </row>
    <row r="505">
      <c r="B505" s="25"/>
      <c r="C505" s="25"/>
      <c r="F505" s="6"/>
    </row>
    <row r="506">
      <c r="B506" s="25"/>
      <c r="C506" s="25"/>
      <c r="F506" s="6"/>
    </row>
    <row r="507">
      <c r="B507" s="25"/>
      <c r="C507" s="25"/>
      <c r="F507" s="6"/>
    </row>
    <row r="508">
      <c r="B508" s="25"/>
      <c r="C508" s="25"/>
      <c r="F508" s="6"/>
    </row>
    <row r="509">
      <c r="B509" s="25"/>
      <c r="C509" s="25"/>
      <c r="F509" s="6"/>
    </row>
    <row r="510">
      <c r="B510" s="25"/>
      <c r="C510" s="25"/>
      <c r="F510" s="6"/>
    </row>
    <row r="511">
      <c r="B511" s="25"/>
      <c r="C511" s="25"/>
      <c r="F511" s="6"/>
    </row>
    <row r="512">
      <c r="B512" s="25"/>
      <c r="C512" s="25"/>
      <c r="F512" s="6"/>
    </row>
    <row r="513">
      <c r="B513" s="25"/>
      <c r="C513" s="25"/>
      <c r="F513" s="6"/>
    </row>
    <row r="514">
      <c r="B514" s="25"/>
      <c r="C514" s="25"/>
      <c r="F514" s="6"/>
    </row>
    <row r="515">
      <c r="B515" s="25"/>
      <c r="C515" s="25"/>
      <c r="F515" s="6"/>
    </row>
    <row r="516">
      <c r="B516" s="25"/>
      <c r="C516" s="25"/>
      <c r="F516" s="6"/>
    </row>
    <row r="517">
      <c r="B517" s="25"/>
      <c r="C517" s="25"/>
      <c r="F517" s="6"/>
    </row>
    <row r="518">
      <c r="B518" s="25"/>
      <c r="C518" s="25"/>
      <c r="F518" s="6"/>
    </row>
    <row r="519">
      <c r="B519" s="25"/>
      <c r="C519" s="25"/>
      <c r="F519" s="6"/>
    </row>
    <row r="520">
      <c r="B520" s="25"/>
      <c r="C520" s="25"/>
      <c r="F520" s="6"/>
    </row>
    <row r="521">
      <c r="B521" s="25"/>
      <c r="C521" s="25"/>
      <c r="F521" s="6"/>
    </row>
    <row r="522">
      <c r="B522" s="25"/>
      <c r="C522" s="25"/>
      <c r="F522" s="6"/>
    </row>
    <row r="523">
      <c r="B523" s="25"/>
      <c r="C523" s="25"/>
      <c r="F523" s="6"/>
    </row>
    <row r="524">
      <c r="B524" s="25"/>
      <c r="C524" s="25"/>
      <c r="F524" s="6"/>
    </row>
    <row r="525">
      <c r="B525" s="25"/>
      <c r="C525" s="25"/>
      <c r="F525" s="6"/>
    </row>
    <row r="526">
      <c r="B526" s="25"/>
      <c r="C526" s="25"/>
      <c r="F526" s="6"/>
    </row>
    <row r="527">
      <c r="B527" s="25"/>
      <c r="C527" s="25"/>
      <c r="F527" s="6"/>
    </row>
    <row r="528">
      <c r="B528" s="25"/>
      <c r="C528" s="25"/>
      <c r="F528" s="6"/>
    </row>
    <row r="529">
      <c r="B529" s="25"/>
      <c r="C529" s="25"/>
      <c r="F529" s="6"/>
    </row>
    <row r="530">
      <c r="B530" s="25"/>
      <c r="C530" s="25"/>
      <c r="F530" s="6"/>
    </row>
    <row r="531">
      <c r="B531" s="25"/>
      <c r="C531" s="25"/>
      <c r="F531" s="6"/>
    </row>
    <row r="532">
      <c r="B532" s="25"/>
      <c r="C532" s="25"/>
      <c r="F532" s="6"/>
    </row>
    <row r="533">
      <c r="B533" s="25"/>
      <c r="C533" s="25"/>
      <c r="F533" s="6"/>
    </row>
    <row r="534">
      <c r="B534" s="25"/>
      <c r="C534" s="25"/>
      <c r="F534" s="6"/>
    </row>
    <row r="535">
      <c r="B535" s="25"/>
      <c r="C535" s="25"/>
      <c r="F535" s="6"/>
    </row>
    <row r="536">
      <c r="B536" s="25"/>
      <c r="C536" s="25"/>
      <c r="F536" s="6"/>
    </row>
    <row r="537">
      <c r="B537" s="25"/>
      <c r="C537" s="25"/>
      <c r="F537" s="6"/>
    </row>
    <row r="538">
      <c r="B538" s="25"/>
      <c r="C538" s="25"/>
      <c r="F538" s="6"/>
    </row>
    <row r="539">
      <c r="B539" s="25"/>
      <c r="C539" s="25"/>
      <c r="F539" s="6"/>
    </row>
    <row r="540">
      <c r="B540" s="25"/>
      <c r="C540" s="25"/>
      <c r="F540" s="6"/>
    </row>
    <row r="541">
      <c r="B541" s="25"/>
      <c r="C541" s="25"/>
      <c r="F541" s="6"/>
    </row>
    <row r="542">
      <c r="B542" s="25"/>
      <c r="C542" s="25"/>
      <c r="F542" s="6"/>
    </row>
    <row r="543">
      <c r="B543" s="25"/>
      <c r="C543" s="25"/>
      <c r="F543" s="6"/>
    </row>
    <row r="544">
      <c r="B544" s="25"/>
      <c r="C544" s="25"/>
      <c r="F544" s="6"/>
    </row>
    <row r="545">
      <c r="B545" s="25"/>
      <c r="C545" s="25"/>
      <c r="F545" s="6"/>
    </row>
    <row r="546">
      <c r="B546" s="25"/>
      <c r="C546" s="25"/>
      <c r="F546" s="6"/>
    </row>
    <row r="547">
      <c r="B547" s="25"/>
      <c r="C547" s="25"/>
      <c r="F547" s="6"/>
    </row>
    <row r="548">
      <c r="B548" s="25"/>
      <c r="C548" s="25"/>
      <c r="F548" s="6"/>
    </row>
    <row r="549">
      <c r="B549" s="25"/>
      <c r="C549" s="25"/>
      <c r="F549" s="6"/>
    </row>
    <row r="550">
      <c r="B550" s="25"/>
      <c r="C550" s="25"/>
      <c r="F550" s="6"/>
    </row>
    <row r="551">
      <c r="B551" s="25"/>
      <c r="C551" s="25"/>
      <c r="F551" s="6"/>
    </row>
    <row r="552">
      <c r="B552" s="25"/>
      <c r="C552" s="25"/>
      <c r="F552" s="6"/>
    </row>
    <row r="553">
      <c r="B553" s="25"/>
      <c r="C553" s="25"/>
      <c r="F553" s="6"/>
    </row>
    <row r="554">
      <c r="B554" s="25"/>
      <c r="C554" s="25"/>
      <c r="F554" s="6"/>
    </row>
    <row r="555">
      <c r="B555" s="25"/>
      <c r="C555" s="25"/>
      <c r="F555" s="6"/>
    </row>
    <row r="556">
      <c r="B556" s="25"/>
      <c r="C556" s="25"/>
      <c r="F556" s="6"/>
    </row>
    <row r="557">
      <c r="B557" s="25"/>
      <c r="C557" s="25"/>
      <c r="F557" s="6"/>
    </row>
    <row r="558">
      <c r="B558" s="25"/>
      <c r="C558" s="25"/>
      <c r="F558" s="6"/>
    </row>
    <row r="559">
      <c r="B559" s="25"/>
      <c r="C559" s="25"/>
      <c r="F559" s="6"/>
    </row>
    <row r="560">
      <c r="B560" s="25"/>
      <c r="C560" s="25"/>
      <c r="F560" s="6"/>
    </row>
    <row r="561">
      <c r="B561" s="25"/>
      <c r="C561" s="25"/>
      <c r="F561" s="6"/>
    </row>
    <row r="562">
      <c r="B562" s="25"/>
      <c r="C562" s="25"/>
      <c r="F562" s="6"/>
    </row>
    <row r="563">
      <c r="B563" s="25"/>
      <c r="C563" s="25"/>
      <c r="F563" s="6"/>
    </row>
    <row r="564">
      <c r="B564" s="25"/>
      <c r="C564" s="25"/>
      <c r="F564" s="6"/>
    </row>
    <row r="565">
      <c r="B565" s="25"/>
      <c r="C565" s="25"/>
      <c r="F565" s="6"/>
    </row>
    <row r="566">
      <c r="B566" s="25"/>
      <c r="C566" s="25"/>
      <c r="F566" s="6"/>
    </row>
    <row r="567">
      <c r="B567" s="25"/>
      <c r="C567" s="25"/>
      <c r="F567" s="6"/>
    </row>
    <row r="568">
      <c r="B568" s="25"/>
      <c r="C568" s="25"/>
      <c r="F568" s="6"/>
    </row>
    <row r="569">
      <c r="B569" s="25"/>
      <c r="C569" s="25"/>
      <c r="F569" s="6"/>
    </row>
    <row r="570">
      <c r="B570" s="25"/>
      <c r="C570" s="25"/>
      <c r="F570" s="6"/>
    </row>
    <row r="571">
      <c r="B571" s="25"/>
      <c r="C571" s="25"/>
      <c r="F571" s="6"/>
    </row>
    <row r="572">
      <c r="B572" s="25"/>
      <c r="C572" s="25"/>
      <c r="F572" s="6"/>
    </row>
    <row r="573">
      <c r="B573" s="25"/>
      <c r="C573" s="25"/>
      <c r="F573" s="6"/>
    </row>
    <row r="574">
      <c r="B574" s="25"/>
      <c r="C574" s="25"/>
      <c r="F574" s="6"/>
    </row>
    <row r="575">
      <c r="B575" s="25"/>
      <c r="C575" s="25"/>
      <c r="F575" s="6"/>
    </row>
    <row r="576">
      <c r="B576" s="25"/>
      <c r="C576" s="25"/>
      <c r="F576" s="6"/>
    </row>
    <row r="577">
      <c r="B577" s="25"/>
      <c r="C577" s="25"/>
      <c r="F577" s="6"/>
    </row>
    <row r="578">
      <c r="B578" s="25"/>
      <c r="C578" s="25"/>
      <c r="F578" s="6"/>
    </row>
    <row r="579">
      <c r="B579" s="25"/>
      <c r="C579" s="25"/>
      <c r="F579" s="6"/>
    </row>
    <row r="580">
      <c r="B580" s="25"/>
      <c r="C580" s="25"/>
      <c r="F580" s="6"/>
    </row>
    <row r="581">
      <c r="B581" s="25"/>
      <c r="C581" s="25"/>
      <c r="F581" s="6"/>
    </row>
    <row r="582">
      <c r="B582" s="25"/>
      <c r="C582" s="25"/>
      <c r="F582" s="6"/>
    </row>
    <row r="583">
      <c r="B583" s="25"/>
      <c r="C583" s="25"/>
      <c r="F583" s="6"/>
    </row>
    <row r="584">
      <c r="B584" s="25"/>
      <c r="C584" s="25"/>
      <c r="F584" s="6"/>
    </row>
    <row r="585">
      <c r="B585" s="25"/>
      <c r="C585" s="25"/>
      <c r="F585" s="6"/>
    </row>
    <row r="586">
      <c r="B586" s="25"/>
      <c r="C586" s="25"/>
      <c r="F586" s="6"/>
    </row>
    <row r="587">
      <c r="B587" s="25"/>
      <c r="C587" s="25"/>
      <c r="F587" s="6"/>
    </row>
    <row r="588">
      <c r="B588" s="25"/>
      <c r="C588" s="25"/>
      <c r="F588" s="6"/>
    </row>
    <row r="589">
      <c r="B589" s="25"/>
      <c r="C589" s="25"/>
      <c r="F589" s="6"/>
    </row>
    <row r="590">
      <c r="B590" s="25"/>
      <c r="C590" s="25"/>
      <c r="F590" s="6"/>
    </row>
    <row r="591">
      <c r="B591" s="25"/>
      <c r="C591" s="25"/>
      <c r="F591" s="6"/>
    </row>
    <row r="592">
      <c r="B592" s="25"/>
      <c r="C592" s="25"/>
      <c r="F592" s="6"/>
    </row>
    <row r="593">
      <c r="B593" s="25"/>
      <c r="C593" s="25"/>
      <c r="F593" s="6"/>
    </row>
    <row r="594">
      <c r="B594" s="25"/>
      <c r="C594" s="25"/>
      <c r="F594" s="6"/>
    </row>
    <row r="595">
      <c r="B595" s="25"/>
      <c r="C595" s="25"/>
      <c r="F595" s="6"/>
    </row>
    <row r="596">
      <c r="B596" s="25"/>
      <c r="C596" s="25"/>
      <c r="F596" s="6"/>
    </row>
    <row r="597">
      <c r="B597" s="25"/>
      <c r="C597" s="25"/>
      <c r="F597" s="6"/>
    </row>
    <row r="598">
      <c r="B598" s="25"/>
      <c r="C598" s="25"/>
      <c r="F598" s="6"/>
    </row>
    <row r="599">
      <c r="B599" s="25"/>
      <c r="C599" s="25"/>
      <c r="F599" s="6"/>
    </row>
    <row r="600">
      <c r="B600" s="25"/>
      <c r="C600" s="25"/>
      <c r="F600" s="6"/>
    </row>
    <row r="601">
      <c r="B601" s="25"/>
      <c r="C601" s="25"/>
      <c r="F601" s="6"/>
    </row>
    <row r="602">
      <c r="B602" s="25"/>
      <c r="C602" s="25"/>
      <c r="F602" s="6"/>
    </row>
    <row r="603">
      <c r="B603" s="25"/>
      <c r="C603" s="25"/>
      <c r="F603" s="6"/>
    </row>
    <row r="604">
      <c r="B604" s="25"/>
      <c r="C604" s="25"/>
      <c r="F604" s="6"/>
    </row>
    <row r="605">
      <c r="B605" s="25"/>
      <c r="C605" s="25"/>
      <c r="F605" s="6"/>
    </row>
    <row r="606">
      <c r="B606" s="25"/>
      <c r="C606" s="25"/>
      <c r="F606" s="6"/>
    </row>
    <row r="607">
      <c r="B607" s="25"/>
      <c r="C607" s="25"/>
      <c r="F607" s="6"/>
    </row>
    <row r="608">
      <c r="B608" s="25"/>
      <c r="C608" s="25"/>
      <c r="F608" s="6"/>
    </row>
    <row r="609">
      <c r="B609" s="25"/>
      <c r="C609" s="25"/>
      <c r="F609" s="6"/>
    </row>
    <row r="610">
      <c r="B610" s="25"/>
      <c r="C610" s="25"/>
      <c r="F610" s="6"/>
    </row>
    <row r="611">
      <c r="B611" s="25"/>
      <c r="C611" s="25"/>
      <c r="F611" s="6"/>
    </row>
    <row r="612">
      <c r="B612" s="25"/>
      <c r="C612" s="25"/>
      <c r="F612" s="6"/>
    </row>
    <row r="613">
      <c r="B613" s="25"/>
      <c r="C613" s="25"/>
      <c r="F613" s="6"/>
    </row>
    <row r="614">
      <c r="B614" s="25"/>
      <c r="C614" s="25"/>
      <c r="F614" s="6"/>
    </row>
    <row r="615">
      <c r="B615" s="25"/>
      <c r="C615" s="25"/>
      <c r="F615" s="6"/>
    </row>
    <row r="616">
      <c r="B616" s="25"/>
      <c r="C616" s="25"/>
      <c r="F616" s="6"/>
    </row>
    <row r="617">
      <c r="B617" s="25"/>
      <c r="C617" s="25"/>
      <c r="F617" s="6"/>
    </row>
    <row r="618">
      <c r="B618" s="25"/>
      <c r="C618" s="25"/>
      <c r="F618" s="6"/>
    </row>
    <row r="619">
      <c r="B619" s="25"/>
      <c r="C619" s="25"/>
      <c r="F619" s="6"/>
    </row>
    <row r="620">
      <c r="B620" s="25"/>
      <c r="C620" s="25"/>
      <c r="F620" s="6"/>
    </row>
    <row r="621">
      <c r="B621" s="25"/>
      <c r="C621" s="25"/>
      <c r="F621" s="6"/>
    </row>
    <row r="622">
      <c r="B622" s="25"/>
      <c r="C622" s="25"/>
      <c r="F622" s="6"/>
    </row>
    <row r="623">
      <c r="B623" s="25"/>
      <c r="C623" s="25"/>
      <c r="F623" s="6"/>
    </row>
    <row r="624">
      <c r="B624" s="25"/>
      <c r="C624" s="25"/>
      <c r="F624" s="6"/>
    </row>
    <row r="625">
      <c r="B625" s="25"/>
      <c r="C625" s="25"/>
      <c r="F625" s="6"/>
    </row>
    <row r="626">
      <c r="B626" s="25"/>
      <c r="C626" s="25"/>
      <c r="F626" s="6"/>
    </row>
    <row r="627">
      <c r="B627" s="25"/>
      <c r="C627" s="25"/>
      <c r="F627" s="6"/>
    </row>
    <row r="628">
      <c r="B628" s="25"/>
      <c r="C628" s="25"/>
      <c r="F628" s="6"/>
    </row>
    <row r="629">
      <c r="B629" s="25"/>
      <c r="C629" s="25"/>
      <c r="F629" s="6"/>
    </row>
    <row r="630">
      <c r="B630" s="25"/>
      <c r="C630" s="25"/>
      <c r="F630" s="6"/>
    </row>
    <row r="631">
      <c r="B631" s="25"/>
      <c r="C631" s="25"/>
      <c r="F631" s="6"/>
    </row>
    <row r="632">
      <c r="B632" s="25"/>
      <c r="C632" s="25"/>
      <c r="F632" s="6"/>
    </row>
    <row r="633">
      <c r="B633" s="25"/>
      <c r="C633" s="25"/>
      <c r="F633" s="6"/>
    </row>
    <row r="634">
      <c r="B634" s="25"/>
      <c r="C634" s="25"/>
      <c r="F634" s="6"/>
    </row>
    <row r="635">
      <c r="B635" s="25"/>
      <c r="C635" s="25"/>
      <c r="F635" s="6"/>
    </row>
    <row r="636">
      <c r="B636" s="25"/>
      <c r="C636" s="25"/>
      <c r="F636" s="6"/>
    </row>
    <row r="637">
      <c r="B637" s="25"/>
      <c r="C637" s="25"/>
      <c r="F637" s="6"/>
    </row>
    <row r="638">
      <c r="B638" s="25"/>
      <c r="C638" s="25"/>
      <c r="F638" s="6"/>
    </row>
    <row r="639">
      <c r="B639" s="25"/>
      <c r="C639" s="25"/>
      <c r="F639" s="6"/>
    </row>
    <row r="640">
      <c r="B640" s="25"/>
      <c r="C640" s="25"/>
      <c r="F640" s="6"/>
    </row>
    <row r="641">
      <c r="B641" s="25"/>
      <c r="C641" s="25"/>
      <c r="F641" s="6"/>
    </row>
    <row r="642">
      <c r="B642" s="25"/>
      <c r="C642" s="25"/>
      <c r="F642" s="6"/>
    </row>
    <row r="643">
      <c r="B643" s="25"/>
      <c r="C643" s="25"/>
      <c r="F643" s="6"/>
    </row>
    <row r="644">
      <c r="B644" s="25"/>
      <c r="C644" s="25"/>
      <c r="F644" s="6"/>
    </row>
    <row r="645">
      <c r="B645" s="25"/>
      <c r="C645" s="25"/>
      <c r="F645" s="6"/>
    </row>
    <row r="646">
      <c r="B646" s="25"/>
      <c r="C646" s="25"/>
      <c r="F646" s="6"/>
    </row>
    <row r="647">
      <c r="B647" s="25"/>
      <c r="C647" s="25"/>
      <c r="F647" s="6"/>
    </row>
    <row r="648">
      <c r="B648" s="25"/>
      <c r="C648" s="25"/>
      <c r="F648" s="6"/>
    </row>
    <row r="649">
      <c r="B649" s="25"/>
      <c r="C649" s="25"/>
      <c r="F649" s="6"/>
    </row>
    <row r="650">
      <c r="B650" s="25"/>
      <c r="C650" s="25"/>
      <c r="F650" s="6"/>
    </row>
    <row r="651">
      <c r="B651" s="25"/>
      <c r="C651" s="25"/>
      <c r="F651" s="6"/>
    </row>
    <row r="652">
      <c r="B652" s="25"/>
      <c r="C652" s="25"/>
      <c r="F652" s="6"/>
    </row>
    <row r="653">
      <c r="B653" s="25"/>
      <c r="C653" s="25"/>
      <c r="F653" s="6"/>
    </row>
    <row r="654">
      <c r="B654" s="25"/>
      <c r="C654" s="25"/>
      <c r="F654" s="6"/>
    </row>
    <row r="655">
      <c r="B655" s="25"/>
      <c r="C655" s="25"/>
      <c r="F655" s="6"/>
    </row>
    <row r="656">
      <c r="B656" s="25"/>
      <c r="C656" s="25"/>
      <c r="F656" s="6"/>
    </row>
    <row r="657">
      <c r="B657" s="25"/>
      <c r="C657" s="25"/>
      <c r="F657" s="6"/>
    </row>
    <row r="658">
      <c r="B658" s="25"/>
      <c r="C658" s="25"/>
      <c r="F658" s="6"/>
    </row>
    <row r="659">
      <c r="B659" s="25"/>
      <c r="C659" s="25"/>
      <c r="F659" s="6"/>
    </row>
    <row r="660">
      <c r="B660" s="25"/>
      <c r="C660" s="25"/>
      <c r="F660" s="6"/>
    </row>
    <row r="661">
      <c r="B661" s="25"/>
      <c r="C661" s="25"/>
      <c r="F661" s="6"/>
    </row>
    <row r="662">
      <c r="B662" s="25"/>
      <c r="C662" s="25"/>
      <c r="F662" s="6"/>
    </row>
    <row r="663">
      <c r="B663" s="25"/>
      <c r="C663" s="25"/>
      <c r="F663" s="6"/>
    </row>
    <row r="664">
      <c r="B664" s="25"/>
      <c r="C664" s="25"/>
      <c r="F664" s="6"/>
    </row>
    <row r="665">
      <c r="B665" s="25"/>
      <c r="C665" s="25"/>
      <c r="F665" s="6"/>
    </row>
    <row r="666">
      <c r="B666" s="25"/>
      <c r="C666" s="25"/>
      <c r="F666" s="6"/>
    </row>
    <row r="667">
      <c r="B667" s="25"/>
      <c r="C667" s="25"/>
      <c r="F667" s="6"/>
    </row>
    <row r="668">
      <c r="B668" s="25"/>
      <c r="C668" s="25"/>
      <c r="F668" s="6"/>
    </row>
    <row r="669">
      <c r="B669" s="25"/>
      <c r="C669" s="25"/>
      <c r="F669" s="6"/>
    </row>
    <row r="670">
      <c r="B670" s="25"/>
      <c r="C670" s="25"/>
      <c r="F670" s="6"/>
    </row>
    <row r="671">
      <c r="B671" s="25"/>
      <c r="C671" s="25"/>
      <c r="F671" s="6"/>
    </row>
    <row r="672">
      <c r="B672" s="25"/>
      <c r="C672" s="25"/>
      <c r="F672" s="6"/>
    </row>
    <row r="673">
      <c r="B673" s="25"/>
      <c r="C673" s="25"/>
      <c r="F673" s="6"/>
    </row>
    <row r="674">
      <c r="B674" s="25"/>
      <c r="C674" s="25"/>
      <c r="F674" s="6"/>
    </row>
    <row r="675">
      <c r="B675" s="25"/>
      <c r="C675" s="25"/>
      <c r="F675" s="6"/>
    </row>
    <row r="676">
      <c r="B676" s="25"/>
      <c r="C676" s="25"/>
      <c r="F676" s="6"/>
    </row>
    <row r="677">
      <c r="B677" s="25"/>
      <c r="C677" s="25"/>
      <c r="F677" s="6"/>
    </row>
    <row r="678">
      <c r="B678" s="25"/>
      <c r="C678" s="25"/>
      <c r="F678" s="6"/>
    </row>
    <row r="679">
      <c r="B679" s="25"/>
      <c r="C679" s="25"/>
      <c r="F679" s="6"/>
    </row>
    <row r="680">
      <c r="B680" s="25"/>
      <c r="C680" s="25"/>
      <c r="F680" s="6"/>
    </row>
    <row r="681">
      <c r="B681" s="25"/>
      <c r="C681" s="25"/>
      <c r="F681" s="6"/>
    </row>
    <row r="682">
      <c r="B682" s="25"/>
      <c r="C682" s="25"/>
      <c r="F682" s="6"/>
    </row>
    <row r="683">
      <c r="B683" s="25"/>
      <c r="C683" s="25"/>
      <c r="F683" s="6"/>
    </row>
    <row r="684">
      <c r="B684" s="25"/>
      <c r="C684" s="25"/>
      <c r="F684" s="6"/>
    </row>
    <row r="685">
      <c r="B685" s="25"/>
      <c r="C685" s="25"/>
      <c r="F685" s="6"/>
    </row>
    <row r="686">
      <c r="B686" s="25"/>
      <c r="C686" s="25"/>
      <c r="F686" s="6"/>
    </row>
    <row r="687">
      <c r="B687" s="25"/>
      <c r="C687" s="25"/>
      <c r="F687" s="6"/>
    </row>
    <row r="688">
      <c r="B688" s="25"/>
      <c r="C688" s="25"/>
      <c r="F688" s="6"/>
    </row>
    <row r="689">
      <c r="B689" s="25"/>
      <c r="C689" s="25"/>
      <c r="F689" s="6"/>
    </row>
    <row r="690">
      <c r="B690" s="25"/>
      <c r="C690" s="25"/>
      <c r="F690" s="6"/>
    </row>
    <row r="691">
      <c r="B691" s="25"/>
      <c r="C691" s="25"/>
      <c r="F691" s="6"/>
    </row>
    <row r="692">
      <c r="B692" s="25"/>
      <c r="C692" s="25"/>
      <c r="F692" s="6"/>
    </row>
    <row r="693">
      <c r="B693" s="25"/>
      <c r="C693" s="25"/>
      <c r="F693" s="6"/>
    </row>
    <row r="694">
      <c r="B694" s="25"/>
      <c r="C694" s="25"/>
      <c r="F694" s="6"/>
    </row>
    <row r="695">
      <c r="B695" s="25"/>
      <c r="C695" s="25"/>
      <c r="F695" s="6"/>
    </row>
    <row r="696">
      <c r="B696" s="25"/>
      <c r="C696" s="25"/>
      <c r="F696" s="6"/>
    </row>
    <row r="697">
      <c r="B697" s="25"/>
      <c r="C697" s="25"/>
      <c r="F697" s="6"/>
    </row>
    <row r="698">
      <c r="B698" s="25"/>
      <c r="C698" s="25"/>
      <c r="F698" s="6"/>
    </row>
    <row r="699">
      <c r="B699" s="25"/>
      <c r="C699" s="25"/>
      <c r="F699" s="6"/>
    </row>
    <row r="700">
      <c r="B700" s="25"/>
      <c r="C700" s="25"/>
      <c r="F700" s="6"/>
    </row>
    <row r="701">
      <c r="B701" s="25"/>
      <c r="C701" s="25"/>
      <c r="F701" s="6"/>
    </row>
    <row r="702">
      <c r="B702" s="25"/>
      <c r="C702" s="25"/>
      <c r="F702" s="6"/>
    </row>
    <row r="703">
      <c r="B703" s="25"/>
      <c r="C703" s="25"/>
      <c r="F703" s="6"/>
    </row>
    <row r="704">
      <c r="B704" s="25"/>
      <c r="C704" s="25"/>
      <c r="F704" s="6"/>
    </row>
    <row r="705">
      <c r="B705" s="25"/>
      <c r="C705" s="25"/>
      <c r="F705" s="6"/>
    </row>
    <row r="706">
      <c r="B706" s="25"/>
      <c r="C706" s="25"/>
      <c r="F706" s="6"/>
    </row>
    <row r="707">
      <c r="B707" s="25"/>
      <c r="C707" s="25"/>
      <c r="F707" s="6"/>
    </row>
    <row r="708">
      <c r="B708" s="25"/>
      <c r="C708" s="25"/>
      <c r="F708" s="6"/>
    </row>
    <row r="709">
      <c r="B709" s="25"/>
      <c r="C709" s="25"/>
      <c r="F709" s="6"/>
    </row>
    <row r="710">
      <c r="B710" s="25"/>
      <c r="C710" s="25"/>
      <c r="F710" s="6"/>
    </row>
    <row r="711">
      <c r="B711" s="25"/>
      <c r="C711" s="25"/>
      <c r="F711" s="6"/>
    </row>
    <row r="712">
      <c r="B712" s="25"/>
      <c r="C712" s="25"/>
      <c r="F712" s="6"/>
    </row>
    <row r="713">
      <c r="B713" s="25"/>
      <c r="C713" s="25"/>
      <c r="F713" s="6"/>
    </row>
    <row r="714">
      <c r="B714" s="25"/>
      <c r="C714" s="25"/>
      <c r="F714" s="6"/>
    </row>
    <row r="715">
      <c r="B715" s="25"/>
      <c r="C715" s="25"/>
      <c r="F715" s="6"/>
    </row>
    <row r="716">
      <c r="B716" s="25"/>
      <c r="C716" s="25"/>
      <c r="F716" s="6"/>
    </row>
    <row r="717">
      <c r="B717" s="25"/>
      <c r="C717" s="25"/>
      <c r="F717" s="6"/>
    </row>
    <row r="718">
      <c r="B718" s="25"/>
      <c r="C718" s="25"/>
      <c r="F718" s="6"/>
    </row>
    <row r="719">
      <c r="B719" s="25"/>
      <c r="C719" s="25"/>
      <c r="F719" s="6"/>
    </row>
    <row r="720">
      <c r="B720" s="25"/>
      <c r="C720" s="25"/>
      <c r="F720" s="6"/>
    </row>
    <row r="721">
      <c r="B721" s="25"/>
      <c r="C721" s="25"/>
      <c r="F721" s="6"/>
    </row>
    <row r="722">
      <c r="B722" s="25"/>
      <c r="C722" s="25"/>
      <c r="F722" s="6"/>
    </row>
    <row r="723">
      <c r="B723" s="25"/>
      <c r="C723" s="25"/>
      <c r="F723" s="6"/>
    </row>
    <row r="724">
      <c r="B724" s="25"/>
      <c r="C724" s="25"/>
      <c r="F724" s="6"/>
    </row>
    <row r="725">
      <c r="B725" s="25"/>
      <c r="C725" s="25"/>
      <c r="F725" s="6"/>
    </row>
    <row r="726">
      <c r="B726" s="25"/>
      <c r="C726" s="25"/>
      <c r="F726" s="6"/>
    </row>
    <row r="727">
      <c r="B727" s="25"/>
      <c r="C727" s="25"/>
      <c r="F727" s="6"/>
    </row>
    <row r="728">
      <c r="B728" s="25"/>
      <c r="C728" s="25"/>
      <c r="F728" s="6"/>
    </row>
    <row r="729">
      <c r="B729" s="25"/>
      <c r="C729" s="25"/>
      <c r="F729" s="6"/>
    </row>
    <row r="730">
      <c r="B730" s="25"/>
      <c r="C730" s="25"/>
      <c r="F730" s="6"/>
    </row>
    <row r="731">
      <c r="B731" s="25"/>
      <c r="C731" s="25"/>
      <c r="F731" s="6"/>
    </row>
    <row r="732">
      <c r="B732" s="25"/>
      <c r="C732" s="25"/>
      <c r="F732" s="6"/>
    </row>
    <row r="733">
      <c r="B733" s="25"/>
      <c r="C733" s="25"/>
      <c r="F733" s="6"/>
    </row>
    <row r="734">
      <c r="B734" s="25"/>
      <c r="C734" s="25"/>
      <c r="F734" s="6"/>
    </row>
    <row r="735">
      <c r="B735" s="25"/>
      <c r="C735" s="25"/>
      <c r="F735" s="6"/>
    </row>
    <row r="736">
      <c r="B736" s="25"/>
      <c r="C736" s="25"/>
      <c r="F736" s="6"/>
    </row>
    <row r="737">
      <c r="B737" s="25"/>
      <c r="C737" s="25"/>
      <c r="F737" s="6"/>
    </row>
    <row r="738">
      <c r="B738" s="25"/>
      <c r="C738" s="25"/>
      <c r="F738" s="6"/>
    </row>
    <row r="739">
      <c r="B739" s="25"/>
      <c r="C739" s="25"/>
      <c r="F739" s="6"/>
    </row>
    <row r="740">
      <c r="B740" s="25"/>
      <c r="C740" s="25"/>
      <c r="F740" s="6"/>
    </row>
    <row r="741">
      <c r="B741" s="25"/>
      <c r="C741" s="25"/>
      <c r="F741" s="6"/>
    </row>
    <row r="742">
      <c r="B742" s="25"/>
      <c r="C742" s="25"/>
      <c r="F742" s="6"/>
    </row>
    <row r="743">
      <c r="B743" s="25"/>
      <c r="C743" s="25"/>
      <c r="F743" s="6"/>
    </row>
    <row r="744">
      <c r="B744" s="25"/>
      <c r="C744" s="25"/>
      <c r="F744" s="6"/>
    </row>
    <row r="745">
      <c r="B745" s="25"/>
      <c r="C745" s="25"/>
      <c r="F745" s="6"/>
    </row>
    <row r="746">
      <c r="B746" s="25"/>
      <c r="C746" s="25"/>
      <c r="F746" s="6"/>
    </row>
    <row r="747">
      <c r="B747" s="25"/>
      <c r="C747" s="25"/>
      <c r="F747" s="6"/>
    </row>
    <row r="748">
      <c r="B748" s="25"/>
      <c r="C748" s="25"/>
      <c r="F748" s="6"/>
    </row>
    <row r="749">
      <c r="B749" s="25"/>
      <c r="C749" s="25"/>
      <c r="F749" s="6"/>
    </row>
    <row r="750">
      <c r="B750" s="25"/>
      <c r="C750" s="25"/>
      <c r="F750" s="6"/>
    </row>
    <row r="751">
      <c r="B751" s="25"/>
      <c r="C751" s="25"/>
      <c r="F751" s="6"/>
    </row>
    <row r="752">
      <c r="B752" s="25"/>
      <c r="C752" s="25"/>
      <c r="F752" s="6"/>
    </row>
    <row r="753">
      <c r="B753" s="25"/>
      <c r="C753" s="25"/>
      <c r="F753" s="6"/>
    </row>
    <row r="754">
      <c r="B754" s="25"/>
      <c r="C754" s="25"/>
      <c r="F754" s="6"/>
    </row>
    <row r="755">
      <c r="B755" s="25"/>
      <c r="C755" s="25"/>
      <c r="F755" s="6"/>
    </row>
    <row r="756">
      <c r="B756" s="25"/>
      <c r="C756" s="25"/>
      <c r="F756" s="6"/>
    </row>
    <row r="757">
      <c r="B757" s="25"/>
      <c r="C757" s="25"/>
      <c r="F757" s="6"/>
    </row>
    <row r="758">
      <c r="B758" s="25"/>
      <c r="C758" s="25"/>
      <c r="F758" s="6"/>
    </row>
    <row r="759">
      <c r="B759" s="25"/>
      <c r="C759" s="25"/>
      <c r="F759" s="6"/>
    </row>
    <row r="760">
      <c r="B760" s="25"/>
      <c r="C760" s="25"/>
      <c r="F760" s="6"/>
    </row>
    <row r="761">
      <c r="B761" s="25"/>
      <c r="C761" s="25"/>
      <c r="F761" s="6"/>
    </row>
    <row r="762">
      <c r="B762" s="25"/>
      <c r="C762" s="25"/>
      <c r="F762" s="6"/>
    </row>
    <row r="763">
      <c r="B763" s="25"/>
      <c r="C763" s="25"/>
      <c r="F763" s="6"/>
    </row>
    <row r="764">
      <c r="B764" s="25"/>
      <c r="C764" s="25"/>
      <c r="F764" s="6"/>
    </row>
    <row r="765">
      <c r="B765" s="25"/>
      <c r="C765" s="25"/>
      <c r="F765" s="6"/>
    </row>
    <row r="766">
      <c r="B766" s="25"/>
      <c r="C766" s="25"/>
      <c r="F766" s="6"/>
    </row>
    <row r="767">
      <c r="B767" s="25"/>
      <c r="C767" s="25"/>
      <c r="F767" s="6"/>
    </row>
    <row r="768">
      <c r="B768" s="25"/>
      <c r="C768" s="25"/>
      <c r="F768" s="6"/>
    </row>
    <row r="769">
      <c r="B769" s="25"/>
      <c r="C769" s="25"/>
      <c r="F769" s="6"/>
    </row>
    <row r="770">
      <c r="B770" s="25"/>
      <c r="C770" s="25"/>
      <c r="F770" s="6"/>
    </row>
    <row r="771">
      <c r="B771" s="25"/>
      <c r="C771" s="25"/>
      <c r="F771" s="6"/>
    </row>
    <row r="772">
      <c r="B772" s="25"/>
      <c r="C772" s="25"/>
      <c r="F772" s="6"/>
    </row>
    <row r="773">
      <c r="B773" s="25"/>
      <c r="C773" s="25"/>
      <c r="F773" s="6"/>
    </row>
    <row r="774">
      <c r="B774" s="25"/>
      <c r="C774" s="25"/>
      <c r="F774" s="6"/>
    </row>
    <row r="775">
      <c r="B775" s="25"/>
      <c r="C775" s="25"/>
      <c r="F775" s="6"/>
    </row>
    <row r="776">
      <c r="B776" s="25"/>
      <c r="C776" s="25"/>
      <c r="F776" s="6"/>
    </row>
    <row r="777">
      <c r="B777" s="25"/>
      <c r="C777" s="25"/>
      <c r="F777" s="6"/>
    </row>
    <row r="778">
      <c r="B778" s="25"/>
      <c r="C778" s="25"/>
      <c r="F778" s="6"/>
    </row>
    <row r="779">
      <c r="B779" s="25"/>
      <c r="C779" s="25"/>
      <c r="F779" s="6"/>
    </row>
    <row r="780">
      <c r="B780" s="25"/>
      <c r="C780" s="25"/>
      <c r="F780" s="6"/>
    </row>
    <row r="781">
      <c r="B781" s="25"/>
      <c r="C781" s="25"/>
      <c r="F781" s="6"/>
    </row>
    <row r="782">
      <c r="B782" s="25"/>
      <c r="C782" s="25"/>
      <c r="F782" s="6"/>
    </row>
    <row r="783">
      <c r="B783" s="25"/>
      <c r="C783" s="25"/>
      <c r="F783" s="6"/>
    </row>
    <row r="784">
      <c r="B784" s="25"/>
      <c r="C784" s="25"/>
      <c r="F784" s="6"/>
    </row>
    <row r="785">
      <c r="B785" s="25"/>
      <c r="C785" s="25"/>
      <c r="F785" s="6"/>
    </row>
    <row r="786">
      <c r="B786" s="25"/>
      <c r="C786" s="25"/>
      <c r="F786" s="6"/>
    </row>
    <row r="787">
      <c r="B787" s="25"/>
      <c r="C787" s="25"/>
      <c r="F787" s="6"/>
    </row>
    <row r="788">
      <c r="B788" s="25"/>
      <c r="C788" s="25"/>
      <c r="F788" s="6"/>
    </row>
    <row r="789">
      <c r="B789" s="25"/>
      <c r="C789" s="25"/>
      <c r="F789" s="6"/>
    </row>
    <row r="790">
      <c r="B790" s="25"/>
      <c r="C790" s="25"/>
      <c r="F790" s="6"/>
    </row>
    <row r="791">
      <c r="B791" s="25"/>
      <c r="C791" s="25"/>
      <c r="F791" s="6"/>
    </row>
    <row r="792">
      <c r="B792" s="25"/>
      <c r="C792" s="25"/>
      <c r="F792" s="6"/>
    </row>
    <row r="793">
      <c r="B793" s="25"/>
      <c r="C793" s="25"/>
      <c r="F793" s="6"/>
    </row>
    <row r="794">
      <c r="B794" s="25"/>
      <c r="C794" s="25"/>
      <c r="F794" s="6"/>
    </row>
    <row r="795">
      <c r="B795" s="25"/>
      <c r="C795" s="25"/>
      <c r="F795" s="6"/>
    </row>
    <row r="796">
      <c r="B796" s="25"/>
      <c r="C796" s="25"/>
      <c r="F796" s="6"/>
    </row>
    <row r="797">
      <c r="B797" s="25"/>
      <c r="C797" s="25"/>
      <c r="F797" s="6"/>
    </row>
    <row r="798">
      <c r="B798" s="25"/>
      <c r="C798" s="25"/>
      <c r="F798" s="6"/>
    </row>
    <row r="799">
      <c r="B799" s="25"/>
      <c r="C799" s="25"/>
      <c r="F799" s="6"/>
    </row>
    <row r="800">
      <c r="B800" s="25"/>
      <c r="C800" s="25"/>
      <c r="F800" s="6"/>
    </row>
    <row r="801">
      <c r="B801" s="25"/>
      <c r="C801" s="25"/>
      <c r="F801" s="6"/>
    </row>
    <row r="802">
      <c r="B802" s="25"/>
      <c r="C802" s="25"/>
      <c r="F802" s="6"/>
    </row>
    <row r="803">
      <c r="B803" s="25"/>
      <c r="C803" s="25"/>
      <c r="F803" s="6"/>
    </row>
    <row r="804">
      <c r="B804" s="25"/>
      <c r="C804" s="25"/>
      <c r="F804" s="6"/>
    </row>
    <row r="805">
      <c r="B805" s="25"/>
      <c r="C805" s="25"/>
      <c r="F805" s="6"/>
    </row>
    <row r="806">
      <c r="B806" s="25"/>
      <c r="C806" s="25"/>
      <c r="F806" s="6"/>
    </row>
    <row r="807">
      <c r="B807" s="25"/>
      <c r="C807" s="25"/>
      <c r="F807" s="6"/>
    </row>
    <row r="808">
      <c r="B808" s="25"/>
      <c r="C808" s="25"/>
      <c r="F808" s="6"/>
    </row>
    <row r="809">
      <c r="B809" s="25"/>
      <c r="C809" s="25"/>
      <c r="F809" s="6"/>
    </row>
    <row r="810">
      <c r="B810" s="25"/>
      <c r="C810" s="25"/>
      <c r="F810" s="6"/>
    </row>
    <row r="811">
      <c r="B811" s="25"/>
      <c r="C811" s="25"/>
      <c r="F811" s="6"/>
    </row>
    <row r="812">
      <c r="B812" s="25"/>
      <c r="C812" s="25"/>
      <c r="F812" s="6"/>
    </row>
    <row r="813">
      <c r="B813" s="25"/>
      <c r="C813" s="25"/>
      <c r="F813" s="6"/>
    </row>
    <row r="814">
      <c r="B814" s="25"/>
      <c r="C814" s="25"/>
      <c r="F814" s="6"/>
    </row>
    <row r="815">
      <c r="B815" s="25"/>
      <c r="C815" s="25"/>
      <c r="F815" s="6"/>
    </row>
    <row r="816">
      <c r="B816" s="25"/>
      <c r="C816" s="25"/>
      <c r="F816" s="6"/>
    </row>
    <row r="817">
      <c r="B817" s="25"/>
      <c r="C817" s="25"/>
      <c r="F817" s="6"/>
    </row>
    <row r="818">
      <c r="B818" s="25"/>
      <c r="C818" s="25"/>
      <c r="F818" s="6"/>
    </row>
    <row r="819">
      <c r="B819" s="25"/>
      <c r="C819" s="25"/>
      <c r="F819" s="6"/>
    </row>
    <row r="820">
      <c r="B820" s="25"/>
      <c r="C820" s="25"/>
      <c r="F820" s="6"/>
    </row>
    <row r="821">
      <c r="B821" s="25"/>
      <c r="C821" s="25"/>
      <c r="F821" s="6"/>
    </row>
    <row r="822">
      <c r="B822" s="25"/>
      <c r="C822" s="25"/>
      <c r="F822" s="6"/>
    </row>
    <row r="823">
      <c r="B823" s="25"/>
      <c r="C823" s="25"/>
      <c r="F823" s="6"/>
    </row>
    <row r="824">
      <c r="B824" s="25"/>
      <c r="C824" s="25"/>
      <c r="F824" s="6"/>
    </row>
    <row r="825">
      <c r="B825" s="25"/>
      <c r="C825" s="25"/>
      <c r="F825" s="6"/>
    </row>
    <row r="826">
      <c r="B826" s="25"/>
      <c r="C826" s="25"/>
      <c r="F826" s="6"/>
    </row>
    <row r="827">
      <c r="B827" s="25"/>
      <c r="C827" s="25"/>
      <c r="F827" s="6"/>
    </row>
    <row r="828">
      <c r="B828" s="25"/>
      <c r="C828" s="25"/>
      <c r="F828" s="6"/>
    </row>
    <row r="829">
      <c r="B829" s="25"/>
      <c r="C829" s="25"/>
      <c r="F829" s="6"/>
    </row>
    <row r="830">
      <c r="B830" s="25"/>
      <c r="C830" s="25"/>
      <c r="F830" s="6"/>
    </row>
    <row r="831">
      <c r="B831" s="25"/>
      <c r="C831" s="25"/>
      <c r="F831" s="6"/>
    </row>
    <row r="832">
      <c r="B832" s="25"/>
      <c r="C832" s="25"/>
      <c r="F832" s="6"/>
    </row>
    <row r="833">
      <c r="B833" s="25"/>
      <c r="C833" s="25"/>
      <c r="F833" s="6"/>
    </row>
    <row r="834">
      <c r="B834" s="25"/>
      <c r="C834" s="25"/>
      <c r="F834" s="6"/>
    </row>
    <row r="835">
      <c r="B835" s="25"/>
      <c r="C835" s="25"/>
      <c r="F835" s="6"/>
    </row>
    <row r="836">
      <c r="B836" s="25"/>
      <c r="C836" s="25"/>
      <c r="F836" s="6"/>
    </row>
    <row r="837">
      <c r="B837" s="25"/>
      <c r="C837" s="25"/>
      <c r="F837" s="6"/>
    </row>
    <row r="838">
      <c r="B838" s="25"/>
      <c r="C838" s="25"/>
      <c r="F838" s="6"/>
    </row>
    <row r="839">
      <c r="B839" s="25"/>
      <c r="C839" s="25"/>
      <c r="F839" s="6"/>
    </row>
    <row r="840">
      <c r="B840" s="25"/>
      <c r="C840" s="25"/>
      <c r="F840" s="6"/>
    </row>
    <row r="841">
      <c r="B841" s="25"/>
      <c r="C841" s="25"/>
      <c r="F841" s="6"/>
    </row>
    <row r="842">
      <c r="B842" s="25"/>
      <c r="C842" s="25"/>
      <c r="F842" s="6"/>
    </row>
    <row r="843">
      <c r="B843" s="25"/>
      <c r="C843" s="25"/>
      <c r="F843" s="6"/>
    </row>
    <row r="844">
      <c r="B844" s="25"/>
      <c r="C844" s="25"/>
      <c r="F844" s="6"/>
    </row>
    <row r="845">
      <c r="B845" s="25"/>
      <c r="C845" s="25"/>
      <c r="F845" s="6"/>
    </row>
    <row r="846">
      <c r="B846" s="25"/>
      <c r="C846" s="25"/>
      <c r="F846" s="6"/>
    </row>
    <row r="847">
      <c r="B847" s="25"/>
      <c r="C847" s="25"/>
      <c r="F847" s="6"/>
    </row>
    <row r="848">
      <c r="B848" s="25"/>
      <c r="C848" s="25"/>
      <c r="F848" s="6"/>
    </row>
    <row r="849">
      <c r="B849" s="25"/>
      <c r="C849" s="25"/>
      <c r="F849" s="6"/>
    </row>
    <row r="850">
      <c r="B850" s="25"/>
      <c r="C850" s="25"/>
      <c r="F850" s="6"/>
    </row>
    <row r="851">
      <c r="B851" s="25"/>
      <c r="C851" s="25"/>
      <c r="F851" s="6"/>
    </row>
    <row r="852">
      <c r="B852" s="25"/>
      <c r="C852" s="25"/>
      <c r="F852" s="6"/>
    </row>
    <row r="853">
      <c r="B853" s="25"/>
      <c r="C853" s="25"/>
      <c r="F853" s="6"/>
    </row>
    <row r="854">
      <c r="B854" s="25"/>
      <c r="C854" s="25"/>
      <c r="F854" s="6"/>
    </row>
    <row r="855">
      <c r="B855" s="25"/>
      <c r="C855" s="25"/>
      <c r="F855" s="6"/>
    </row>
    <row r="856">
      <c r="B856" s="25"/>
      <c r="C856" s="25"/>
      <c r="F856" s="6"/>
    </row>
    <row r="857">
      <c r="B857" s="25"/>
      <c r="C857" s="25"/>
      <c r="F857" s="6"/>
    </row>
    <row r="858">
      <c r="B858" s="25"/>
      <c r="C858" s="25"/>
      <c r="F858" s="6"/>
    </row>
    <row r="859">
      <c r="B859" s="25"/>
      <c r="C859" s="25"/>
      <c r="F859" s="6"/>
    </row>
    <row r="860">
      <c r="B860" s="25"/>
      <c r="C860" s="25"/>
      <c r="F860" s="6"/>
    </row>
    <row r="861">
      <c r="B861" s="25"/>
      <c r="C861" s="25"/>
      <c r="F861" s="6"/>
    </row>
    <row r="862">
      <c r="B862" s="25"/>
      <c r="C862" s="25"/>
      <c r="F862" s="6"/>
    </row>
    <row r="863">
      <c r="B863" s="25"/>
      <c r="C863" s="25"/>
      <c r="F863" s="6"/>
    </row>
    <row r="864">
      <c r="B864" s="25"/>
      <c r="C864" s="25"/>
      <c r="F864" s="6"/>
    </row>
    <row r="865">
      <c r="B865" s="25"/>
      <c r="C865" s="25"/>
      <c r="F865" s="6"/>
    </row>
    <row r="866">
      <c r="B866" s="25"/>
      <c r="C866" s="25"/>
      <c r="F866" s="6"/>
    </row>
    <row r="867">
      <c r="B867" s="25"/>
      <c r="C867" s="25"/>
      <c r="F867" s="6"/>
    </row>
    <row r="868">
      <c r="B868" s="25"/>
      <c r="C868" s="25"/>
      <c r="F868" s="6"/>
    </row>
    <row r="869">
      <c r="B869" s="25"/>
      <c r="C869" s="25"/>
      <c r="F869" s="6"/>
    </row>
    <row r="870">
      <c r="B870" s="25"/>
      <c r="C870" s="25"/>
      <c r="F870" s="6"/>
    </row>
    <row r="871">
      <c r="B871" s="25"/>
      <c r="C871" s="25"/>
      <c r="F871" s="6"/>
    </row>
    <row r="872">
      <c r="B872" s="25"/>
      <c r="C872" s="25"/>
      <c r="F872" s="6"/>
    </row>
    <row r="873">
      <c r="B873" s="25"/>
      <c r="C873" s="25"/>
      <c r="F873" s="6"/>
    </row>
    <row r="874">
      <c r="B874" s="25"/>
      <c r="C874" s="25"/>
      <c r="F874" s="6"/>
    </row>
    <row r="875">
      <c r="B875" s="25"/>
      <c r="C875" s="25"/>
      <c r="F875" s="6"/>
    </row>
    <row r="876">
      <c r="B876" s="25"/>
      <c r="C876" s="25"/>
      <c r="F876" s="6"/>
    </row>
    <row r="877">
      <c r="B877" s="25"/>
      <c r="C877" s="25"/>
      <c r="F877" s="6"/>
    </row>
    <row r="878">
      <c r="B878" s="25"/>
      <c r="C878" s="25"/>
      <c r="F878" s="6"/>
    </row>
    <row r="879">
      <c r="B879" s="25"/>
      <c r="C879" s="25"/>
      <c r="F879" s="6"/>
    </row>
    <row r="880">
      <c r="B880" s="25"/>
      <c r="C880" s="25"/>
      <c r="F880" s="6"/>
    </row>
    <row r="881">
      <c r="B881" s="25"/>
      <c r="C881" s="25"/>
      <c r="F881" s="6"/>
    </row>
    <row r="882">
      <c r="B882" s="25"/>
      <c r="C882" s="25"/>
      <c r="F882" s="6"/>
    </row>
    <row r="883">
      <c r="B883" s="25"/>
      <c r="C883" s="25"/>
      <c r="F883" s="6"/>
    </row>
    <row r="884">
      <c r="B884" s="25"/>
      <c r="C884" s="25"/>
      <c r="F884" s="6"/>
    </row>
    <row r="885">
      <c r="B885" s="25"/>
      <c r="C885" s="25"/>
      <c r="F885" s="6"/>
    </row>
    <row r="886">
      <c r="B886" s="25"/>
      <c r="C886" s="25"/>
      <c r="F886" s="6"/>
    </row>
    <row r="887">
      <c r="B887" s="25"/>
      <c r="C887" s="25"/>
      <c r="F887" s="6"/>
    </row>
    <row r="888">
      <c r="B888" s="25"/>
      <c r="C888" s="25"/>
      <c r="F888" s="6"/>
    </row>
    <row r="889">
      <c r="B889" s="25"/>
      <c r="C889" s="25"/>
      <c r="F889" s="6"/>
    </row>
    <row r="890">
      <c r="B890" s="25"/>
      <c r="C890" s="25"/>
      <c r="F890" s="6"/>
    </row>
    <row r="891">
      <c r="B891" s="25"/>
      <c r="C891" s="25"/>
      <c r="F891" s="6"/>
    </row>
    <row r="892">
      <c r="B892" s="25"/>
      <c r="C892" s="25"/>
      <c r="F892" s="6"/>
    </row>
    <row r="893">
      <c r="B893" s="25"/>
      <c r="C893" s="25"/>
      <c r="F893" s="6"/>
    </row>
    <row r="894">
      <c r="B894" s="25"/>
      <c r="C894" s="25"/>
      <c r="F894" s="6"/>
    </row>
    <row r="895">
      <c r="B895" s="25"/>
      <c r="C895" s="25"/>
      <c r="F895" s="6"/>
    </row>
    <row r="896">
      <c r="B896" s="25"/>
      <c r="C896" s="25"/>
      <c r="F896" s="6"/>
    </row>
    <row r="897">
      <c r="B897" s="25"/>
      <c r="C897" s="25"/>
      <c r="F897" s="6"/>
    </row>
    <row r="898">
      <c r="B898" s="25"/>
      <c r="C898" s="25"/>
      <c r="F898" s="6"/>
    </row>
    <row r="899">
      <c r="B899" s="25"/>
      <c r="C899" s="25"/>
      <c r="F899" s="6"/>
    </row>
    <row r="900">
      <c r="B900" s="25"/>
      <c r="C900" s="25"/>
      <c r="F900" s="6"/>
    </row>
    <row r="901">
      <c r="B901" s="25"/>
      <c r="C901" s="25"/>
      <c r="F901" s="6"/>
    </row>
    <row r="902">
      <c r="B902" s="25"/>
      <c r="C902" s="25"/>
      <c r="F902" s="6"/>
    </row>
    <row r="903">
      <c r="B903" s="25"/>
      <c r="C903" s="25"/>
      <c r="F903" s="6"/>
    </row>
    <row r="904">
      <c r="B904" s="25"/>
      <c r="C904" s="25"/>
      <c r="F904" s="6"/>
    </row>
    <row r="905">
      <c r="B905" s="25"/>
      <c r="C905" s="25"/>
      <c r="F905" s="6"/>
    </row>
    <row r="906">
      <c r="B906" s="25"/>
      <c r="C906" s="25"/>
      <c r="F906" s="6"/>
    </row>
    <row r="907">
      <c r="B907" s="25"/>
      <c r="C907" s="25"/>
      <c r="F907" s="6"/>
    </row>
    <row r="908">
      <c r="B908" s="25"/>
      <c r="C908" s="25"/>
      <c r="F908" s="6"/>
    </row>
    <row r="909">
      <c r="B909" s="25"/>
      <c r="C909" s="25"/>
      <c r="F909" s="6"/>
    </row>
    <row r="910">
      <c r="B910" s="25"/>
      <c r="C910" s="25"/>
      <c r="F910" s="6"/>
    </row>
    <row r="911">
      <c r="B911" s="25"/>
      <c r="C911" s="25"/>
      <c r="F911" s="6"/>
    </row>
    <row r="912">
      <c r="B912" s="25"/>
      <c r="C912" s="25"/>
      <c r="F912" s="6"/>
    </row>
    <row r="913">
      <c r="B913" s="25"/>
      <c r="C913" s="25"/>
      <c r="F913" s="6"/>
    </row>
    <row r="914">
      <c r="B914" s="25"/>
      <c r="C914" s="25"/>
      <c r="F914" s="6"/>
    </row>
    <row r="915">
      <c r="B915" s="25"/>
      <c r="C915" s="25"/>
      <c r="F915" s="6"/>
    </row>
    <row r="916">
      <c r="B916" s="25"/>
      <c r="C916" s="25"/>
      <c r="F916" s="6"/>
    </row>
    <row r="917">
      <c r="B917" s="25"/>
      <c r="C917" s="25"/>
      <c r="F917" s="6"/>
    </row>
    <row r="918">
      <c r="B918" s="25"/>
      <c r="C918" s="25"/>
      <c r="F918" s="6"/>
    </row>
    <row r="919">
      <c r="B919" s="25"/>
      <c r="C919" s="25"/>
      <c r="F919" s="6"/>
    </row>
    <row r="920">
      <c r="B920" s="25"/>
      <c r="C920" s="25"/>
      <c r="F920" s="6"/>
    </row>
    <row r="921">
      <c r="B921" s="25"/>
      <c r="C921" s="25"/>
      <c r="F921" s="6"/>
    </row>
    <row r="922">
      <c r="B922" s="25"/>
      <c r="C922" s="25"/>
      <c r="F922" s="6"/>
    </row>
    <row r="923">
      <c r="B923" s="25"/>
      <c r="C923" s="25"/>
      <c r="F923" s="6"/>
    </row>
    <row r="924">
      <c r="B924" s="25"/>
      <c r="C924" s="25"/>
      <c r="F924" s="6"/>
    </row>
    <row r="925">
      <c r="B925" s="25"/>
      <c r="C925" s="25"/>
      <c r="F925" s="6"/>
    </row>
    <row r="926">
      <c r="B926" s="25"/>
      <c r="C926" s="25"/>
      <c r="F926" s="6"/>
    </row>
    <row r="927">
      <c r="B927" s="25"/>
      <c r="C927" s="25"/>
      <c r="F927" s="6"/>
    </row>
    <row r="928">
      <c r="B928" s="25"/>
      <c r="C928" s="25"/>
      <c r="F928" s="6"/>
    </row>
    <row r="929">
      <c r="B929" s="25"/>
      <c r="C929" s="25"/>
      <c r="F929" s="6"/>
    </row>
    <row r="930">
      <c r="B930" s="25"/>
      <c r="C930" s="25"/>
      <c r="F930" s="6"/>
    </row>
    <row r="931">
      <c r="B931" s="25"/>
      <c r="C931" s="25"/>
      <c r="F931" s="6"/>
    </row>
    <row r="932">
      <c r="B932" s="25"/>
      <c r="C932" s="25"/>
      <c r="F932" s="6"/>
    </row>
    <row r="933">
      <c r="B933" s="25"/>
      <c r="C933" s="25"/>
      <c r="F933" s="6"/>
    </row>
    <row r="934">
      <c r="B934" s="25"/>
      <c r="C934" s="25"/>
      <c r="F934" s="6"/>
    </row>
    <row r="935">
      <c r="B935" s="25"/>
      <c r="C935" s="25"/>
      <c r="F935" s="6"/>
    </row>
    <row r="936">
      <c r="B936" s="25"/>
      <c r="C936" s="25"/>
      <c r="F936" s="6"/>
    </row>
    <row r="937">
      <c r="B937" s="25"/>
      <c r="C937" s="25"/>
      <c r="F937" s="6"/>
    </row>
    <row r="938">
      <c r="B938" s="25"/>
      <c r="C938" s="25"/>
      <c r="F938" s="6"/>
    </row>
    <row r="939">
      <c r="B939" s="25"/>
      <c r="C939" s="25"/>
      <c r="F939" s="6"/>
    </row>
    <row r="940">
      <c r="B940" s="25"/>
      <c r="C940" s="25"/>
      <c r="F940" s="6"/>
    </row>
    <row r="941">
      <c r="B941" s="25"/>
      <c r="C941" s="25"/>
      <c r="F941" s="6"/>
    </row>
    <row r="942">
      <c r="B942" s="25"/>
      <c r="C942" s="25"/>
      <c r="F942" s="6"/>
    </row>
    <row r="943">
      <c r="B943" s="25"/>
      <c r="C943" s="25"/>
      <c r="F943" s="6"/>
    </row>
    <row r="944">
      <c r="B944" s="25"/>
      <c r="C944" s="25"/>
      <c r="F944" s="6"/>
    </row>
    <row r="945">
      <c r="B945" s="25"/>
      <c r="C945" s="25"/>
      <c r="F945" s="6"/>
    </row>
    <row r="946">
      <c r="B946" s="25"/>
      <c r="C946" s="25"/>
      <c r="F946" s="6"/>
    </row>
    <row r="947">
      <c r="B947" s="25"/>
      <c r="C947" s="25"/>
      <c r="F947" s="6"/>
    </row>
    <row r="948">
      <c r="B948" s="25"/>
      <c r="C948" s="25"/>
      <c r="F948" s="6"/>
    </row>
    <row r="949">
      <c r="B949" s="25"/>
      <c r="C949" s="25"/>
      <c r="F949" s="6"/>
    </row>
    <row r="950">
      <c r="B950" s="25"/>
      <c r="C950" s="25"/>
      <c r="F950" s="6"/>
    </row>
    <row r="951">
      <c r="B951" s="25"/>
      <c r="C951" s="25"/>
      <c r="F951" s="6"/>
    </row>
    <row r="952">
      <c r="B952" s="25"/>
      <c r="C952" s="25"/>
      <c r="F952" s="6"/>
    </row>
    <row r="953">
      <c r="B953" s="25"/>
      <c r="C953" s="25"/>
      <c r="F953" s="6"/>
    </row>
    <row r="954">
      <c r="B954" s="25"/>
      <c r="C954" s="25"/>
      <c r="F954" s="6"/>
    </row>
    <row r="955">
      <c r="B955" s="25"/>
      <c r="C955" s="25"/>
      <c r="F955" s="6"/>
    </row>
    <row r="956">
      <c r="B956" s="25"/>
      <c r="C956" s="25"/>
      <c r="F956" s="6"/>
    </row>
    <row r="957">
      <c r="B957" s="25"/>
      <c r="C957" s="25"/>
      <c r="F957" s="6"/>
    </row>
    <row r="958">
      <c r="B958" s="25"/>
      <c r="C958" s="25"/>
      <c r="F958" s="6"/>
    </row>
    <row r="959">
      <c r="B959" s="25"/>
      <c r="C959" s="25"/>
      <c r="F959" s="6"/>
    </row>
    <row r="960">
      <c r="B960" s="25"/>
      <c r="C960" s="25"/>
      <c r="F960" s="6"/>
    </row>
    <row r="961">
      <c r="B961" s="25"/>
      <c r="C961" s="25"/>
      <c r="F961" s="6"/>
    </row>
    <row r="962">
      <c r="B962" s="25"/>
      <c r="C962" s="25"/>
      <c r="F962" s="6"/>
    </row>
    <row r="963">
      <c r="B963" s="25"/>
      <c r="C963" s="25"/>
      <c r="F963" s="6"/>
    </row>
    <row r="964">
      <c r="B964" s="25"/>
      <c r="C964" s="25"/>
      <c r="F964" s="6"/>
    </row>
    <row r="965">
      <c r="B965" s="25"/>
      <c r="C965" s="25"/>
      <c r="F965" s="6"/>
    </row>
    <row r="966">
      <c r="B966" s="25"/>
      <c r="C966" s="25"/>
      <c r="F966" s="6"/>
    </row>
    <row r="967">
      <c r="B967" s="25"/>
      <c r="C967" s="25"/>
      <c r="F967" s="6"/>
    </row>
    <row r="968">
      <c r="B968" s="25"/>
      <c r="C968" s="25"/>
      <c r="F968" s="6"/>
    </row>
    <row r="969">
      <c r="B969" s="25"/>
      <c r="C969" s="25"/>
      <c r="F969" s="6"/>
    </row>
    <row r="970">
      <c r="B970" s="25"/>
      <c r="C970" s="25"/>
      <c r="F970" s="6"/>
    </row>
    <row r="971">
      <c r="B971" s="25"/>
      <c r="C971" s="25"/>
      <c r="F971" s="6"/>
    </row>
    <row r="972">
      <c r="B972" s="25"/>
      <c r="C972" s="25"/>
      <c r="F972" s="6"/>
    </row>
    <row r="973">
      <c r="B973" s="25"/>
      <c r="C973" s="25"/>
      <c r="F973" s="6"/>
    </row>
    <row r="974">
      <c r="B974" s="25"/>
      <c r="C974" s="25"/>
      <c r="F974" s="6"/>
    </row>
    <row r="975">
      <c r="B975" s="25"/>
      <c r="C975" s="25"/>
      <c r="F975" s="6"/>
    </row>
    <row r="976">
      <c r="B976" s="25"/>
      <c r="C976" s="25"/>
      <c r="F976" s="6"/>
    </row>
    <row r="977">
      <c r="B977" s="25"/>
      <c r="C977" s="25"/>
      <c r="F977" s="6"/>
    </row>
    <row r="978">
      <c r="B978" s="25"/>
      <c r="C978" s="25"/>
      <c r="F978" s="6"/>
    </row>
    <row r="979">
      <c r="B979" s="25"/>
      <c r="C979" s="25"/>
      <c r="F979" s="6"/>
    </row>
    <row r="980">
      <c r="B980" s="25"/>
      <c r="C980" s="25"/>
      <c r="F980" s="6"/>
    </row>
    <row r="981">
      <c r="B981" s="25"/>
      <c r="C981" s="25"/>
      <c r="F981" s="6"/>
    </row>
    <row r="982">
      <c r="B982" s="25"/>
      <c r="C982" s="25"/>
      <c r="F982" s="6"/>
    </row>
    <row r="983">
      <c r="B983" s="25"/>
      <c r="C983" s="25"/>
      <c r="F983" s="6"/>
    </row>
    <row r="984">
      <c r="B984" s="25"/>
      <c r="C984" s="25"/>
      <c r="F984" s="6"/>
    </row>
    <row r="985">
      <c r="B985" s="25"/>
      <c r="C985" s="25"/>
      <c r="F985" s="6"/>
    </row>
    <row r="986">
      <c r="B986" s="25"/>
      <c r="C986" s="25"/>
      <c r="F986" s="6"/>
    </row>
    <row r="987">
      <c r="B987" s="25"/>
      <c r="C987" s="25"/>
      <c r="F987" s="6"/>
    </row>
    <row r="988">
      <c r="B988" s="25"/>
      <c r="C988" s="25"/>
      <c r="F988" s="6"/>
    </row>
    <row r="989">
      <c r="B989" s="25"/>
      <c r="C989" s="25"/>
      <c r="F989" s="6"/>
    </row>
    <row r="990">
      <c r="B990" s="25"/>
      <c r="C990" s="25"/>
      <c r="F990" s="6"/>
    </row>
    <row r="991">
      <c r="B991" s="25"/>
      <c r="C991" s="25"/>
      <c r="F991" s="6"/>
    </row>
    <row r="992">
      <c r="B992" s="25"/>
      <c r="C992" s="25"/>
      <c r="F992" s="6"/>
    </row>
    <row r="993">
      <c r="B993" s="25"/>
      <c r="C993" s="25"/>
      <c r="F993" s="6"/>
    </row>
    <row r="994">
      <c r="B994" s="25"/>
      <c r="C994" s="25"/>
      <c r="F994" s="6"/>
    </row>
    <row r="995">
      <c r="B995" s="25"/>
      <c r="C995" s="25"/>
      <c r="F995" s="6"/>
    </row>
    <row r="996">
      <c r="B996" s="25"/>
      <c r="C996" s="25"/>
    </row>
    <row r="997">
      <c r="B997" s="25"/>
      <c r="C997" s="25"/>
    </row>
    <row r="998">
      <c r="B998" s="25"/>
      <c r="C998" s="25"/>
    </row>
    <row r="999">
      <c r="B999" s="25"/>
      <c r="C999" s="25"/>
    </row>
    <row r="1000">
      <c r="B1000" s="25"/>
      <c r="C1000" s="25"/>
    </row>
  </sheetData>
  <autoFilter ref="$A$1:$N$119">
    <filterColumn colId="6">
      <filters>
        <filter val="Law"/>
        <filter val="Decree"/>
        <filter val="Decree Law"/>
        <filter val="Strategy"/>
        <filter val="Plan"/>
      </filters>
    </filterColumn>
  </autoFilter>
  <dataValidations>
    <dataValidation type="list" allowBlank="1" sqref="F120:F995">
      <formula1>'Document Type Values'!$A$1:$A$30</formula1>
    </dataValidation>
    <dataValidation type="list" allowBlank="1" sqref="F2:G5 F6:F50 F51:G51 F52:F58 F59:G60 F61:F63 F64:G64 F65:F82 F83:G83 F84:F85 F86:G86 F87:F90 F91:G91 F92 F93:G94 F95:F96 F97:G98 F99:F100 F101:G102 F103:F106 F107:G107 F108:F119">
      <formula1>'_document type values'!$A:$A</formula1>
    </dataValidation>
  </dataValidations>
  <hyperlinks>
    <hyperlink r:id="rId1" ref="K2"/>
    <hyperlink r:id="rId2" ref="K3"/>
    <hyperlink r:id="rId3" ref="J4"/>
    <hyperlink r:id="rId4" ref="K4"/>
    <hyperlink r:id="rId5" ref="K5"/>
    <hyperlink r:id="rId6" ref="K6"/>
    <hyperlink r:id="rId7" ref="K7"/>
    <hyperlink r:id="rId8" ref="K8"/>
    <hyperlink r:id="rId9" ref="K9"/>
    <hyperlink r:id="rId10" ref="K10"/>
    <hyperlink r:id="rId11" ref="K11"/>
    <hyperlink r:id="rId12" ref="K12"/>
    <hyperlink r:id="rId13" ref="K13"/>
    <hyperlink r:id="rId14" ref="K14"/>
    <hyperlink r:id="rId15" ref="K15"/>
    <hyperlink r:id="rId16" ref="K16"/>
    <hyperlink r:id="rId17" ref="K17"/>
    <hyperlink r:id="rId18" ref="K18"/>
    <hyperlink r:id="rId19" ref="K19"/>
    <hyperlink r:id="rId20" ref="K20"/>
    <hyperlink r:id="rId21" ref="K21"/>
    <hyperlink r:id="rId22" ref="K22"/>
    <hyperlink r:id="rId23" ref="K23"/>
    <hyperlink r:id="rId24" ref="K24"/>
    <hyperlink r:id="rId25" ref="K25"/>
    <hyperlink r:id="rId26" ref="K26"/>
    <hyperlink r:id="rId27" ref="K27"/>
    <hyperlink r:id="rId28" ref="K28"/>
    <hyperlink r:id="rId29" ref="K29"/>
    <hyperlink r:id="rId30" ref="K30"/>
    <hyperlink r:id="rId31" ref="K31"/>
    <hyperlink r:id="rId32" ref="K32"/>
    <hyperlink r:id="rId33" ref="K33"/>
    <hyperlink r:id="rId34" ref="K34"/>
    <hyperlink r:id="rId35" ref="K35"/>
    <hyperlink r:id="rId36" ref="K36"/>
    <hyperlink r:id="rId37" ref="K37"/>
    <hyperlink r:id="rId38" ref="K38"/>
    <hyperlink r:id="rId39" ref="K39"/>
    <hyperlink r:id="rId40" ref="K40"/>
    <hyperlink r:id="rId41" ref="K41"/>
    <hyperlink r:id="rId42" ref="K42"/>
    <hyperlink r:id="rId43" ref="K43"/>
    <hyperlink r:id="rId44" ref="K44"/>
    <hyperlink r:id="rId45" ref="K45"/>
    <hyperlink r:id="rId46" ref="K46"/>
    <hyperlink r:id="rId47" ref="K47"/>
    <hyperlink r:id="rId48" ref="K48"/>
    <hyperlink r:id="rId49" ref="K49"/>
    <hyperlink r:id="rId50" ref="K50"/>
    <hyperlink r:id="rId51" ref="K51"/>
    <hyperlink r:id="rId52" ref="K52"/>
    <hyperlink r:id="rId53" ref="K53"/>
    <hyperlink r:id="rId54" ref="K54"/>
    <hyperlink r:id="rId55" ref="K55"/>
    <hyperlink r:id="rId56" ref="K56"/>
    <hyperlink r:id="rId57" ref="K57"/>
    <hyperlink r:id="rId58" ref="K58"/>
    <hyperlink r:id="rId59" ref="K59"/>
    <hyperlink r:id="rId60" ref="K60"/>
    <hyperlink r:id="rId61" ref="K61"/>
    <hyperlink r:id="rId62" ref="K62"/>
    <hyperlink r:id="rId63" ref="K63"/>
    <hyperlink r:id="rId64" ref="K64"/>
    <hyperlink r:id="rId65" ref="K65"/>
    <hyperlink r:id="rId66" ref="K66"/>
    <hyperlink r:id="rId67" ref="K67"/>
    <hyperlink r:id="rId68" ref="K68"/>
    <hyperlink r:id="rId69" location="italys-recovery-and-resilience-plan|en" ref="J69"/>
    <hyperlink r:id="rId70" location="italys-recovery-and-resilience-plan" ref="K69"/>
    <hyperlink r:id="rId71" ref="K70"/>
    <hyperlink r:id="rId72" ref="K71"/>
    <hyperlink r:id="rId73" ref="K72"/>
    <hyperlink r:id="rId74" ref="K73"/>
    <hyperlink r:id="rId75" ref="K74"/>
    <hyperlink r:id="rId76" ref="K75"/>
    <hyperlink r:id="rId77" ref="K76"/>
    <hyperlink r:id="rId78" ref="K77"/>
    <hyperlink r:id="rId79" ref="K78"/>
    <hyperlink r:id="rId80" ref="K79"/>
    <hyperlink r:id="rId81" ref="K80"/>
    <hyperlink r:id="rId82" ref="K81"/>
    <hyperlink r:id="rId83" ref="K82"/>
    <hyperlink r:id="rId84" ref="K83"/>
    <hyperlink r:id="rId85" ref="K84"/>
    <hyperlink r:id="rId86" ref="K85"/>
    <hyperlink r:id="rId87" ref="K86"/>
    <hyperlink r:id="rId88" ref="K87"/>
    <hyperlink r:id="rId89" ref="K88"/>
    <hyperlink r:id="rId90" ref="K89"/>
    <hyperlink r:id="rId91" ref="K90"/>
    <hyperlink r:id="rId92" ref="K91"/>
    <hyperlink r:id="rId93" ref="K92"/>
    <hyperlink r:id="rId94" ref="K93"/>
    <hyperlink r:id="rId95" ref="K94"/>
    <hyperlink r:id="rId96" ref="K95"/>
    <hyperlink r:id="rId97" ref="K96"/>
    <hyperlink r:id="rId98" ref="K97"/>
    <hyperlink r:id="rId99" ref="K98"/>
    <hyperlink r:id="rId100" ref="K99"/>
    <hyperlink r:id="rId101" ref="K100"/>
    <hyperlink r:id="rId102" ref="K101"/>
    <hyperlink r:id="rId103" ref="K102"/>
    <hyperlink r:id="rId104" ref="K103"/>
    <hyperlink r:id="rId105" ref="K104"/>
    <hyperlink r:id="rId106" ref="K105"/>
    <hyperlink r:id="rId107" ref="J106"/>
    <hyperlink r:id="rId108" ref="K106"/>
    <hyperlink r:id="rId109" ref="K107"/>
    <hyperlink r:id="rId110" ref="K108"/>
    <hyperlink r:id="rId111" ref="K109"/>
    <hyperlink r:id="rId112" ref="K110"/>
    <hyperlink r:id="rId113" ref="K111"/>
    <hyperlink r:id="rId114" ref="K112"/>
    <hyperlink r:id="rId115" ref="K113"/>
    <hyperlink r:id="rId116" ref="K114"/>
    <hyperlink r:id="rId117" ref="K115"/>
    <hyperlink r:id="rId118" ref="K116"/>
    <hyperlink r:id="rId119" ref="K117"/>
    <hyperlink r:id="rId120" ref="K118"/>
    <hyperlink r:id="rId121" ref="K119"/>
  </hyperlinks>
  <drawing r:id="rId12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hidden="1" min="3" max="3" width="12.63"/>
    <col hidden="1" min="6" max="8" width="12.63"/>
    <col hidden="1" min="10" max="12" width="12.63"/>
    <col customWidth="1" hidden="1" min="13" max="13" width="54.63"/>
    <col customWidth="1" min="14" max="14" width="13.88"/>
    <col customWidth="1" min="15" max="15" width="17.63"/>
    <col customWidth="1" min="16" max="16" width="136.38"/>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26" t="s">
        <v>8</v>
      </c>
      <c r="P1" s="26" t="s">
        <v>9</v>
      </c>
      <c r="Q1" s="27"/>
      <c r="R1" s="27"/>
      <c r="S1" s="27"/>
      <c r="T1" s="27"/>
      <c r="U1" s="27"/>
      <c r="V1" s="27"/>
      <c r="W1" s="27"/>
      <c r="X1" s="27"/>
      <c r="Y1" s="27"/>
      <c r="Z1" s="27"/>
      <c r="AA1" s="27"/>
      <c r="AB1" s="27"/>
    </row>
    <row r="2">
      <c r="A2" s="28">
        <v>10174.0</v>
      </c>
      <c r="B2" s="29" t="s">
        <v>2935</v>
      </c>
      <c r="C2" s="29" t="s">
        <v>449</v>
      </c>
      <c r="D2" s="29" t="s">
        <v>2561</v>
      </c>
      <c r="E2" s="29" t="s">
        <v>2562</v>
      </c>
      <c r="F2" s="30"/>
      <c r="G2" s="29" t="s">
        <v>441</v>
      </c>
      <c r="H2" s="29" t="s">
        <v>1157</v>
      </c>
      <c r="I2" s="29" t="s">
        <v>45</v>
      </c>
      <c r="J2" s="30"/>
      <c r="K2" s="29" t="s">
        <v>1305</v>
      </c>
      <c r="L2" s="29" t="s">
        <v>489</v>
      </c>
      <c r="M2" s="29" t="s">
        <v>2936</v>
      </c>
      <c r="N2" s="29"/>
      <c r="O2" s="29"/>
      <c r="P2" s="29" t="s">
        <v>2937</v>
      </c>
    </row>
    <row r="3">
      <c r="A3" s="28">
        <v>1570.0</v>
      </c>
      <c r="B3" s="29" t="s">
        <v>2938</v>
      </c>
      <c r="C3" s="29" t="s">
        <v>432</v>
      </c>
      <c r="D3" s="29" t="s">
        <v>2571</v>
      </c>
      <c r="E3" s="29" t="s">
        <v>2572</v>
      </c>
      <c r="F3" s="30"/>
      <c r="G3" s="29" t="s">
        <v>441</v>
      </c>
      <c r="H3" s="29" t="s">
        <v>1105</v>
      </c>
      <c r="I3" s="29" t="s">
        <v>407</v>
      </c>
      <c r="J3" s="30"/>
      <c r="K3" s="29" t="s">
        <v>547</v>
      </c>
      <c r="L3" s="29" t="s">
        <v>511</v>
      </c>
      <c r="M3" s="29" t="s">
        <v>2939</v>
      </c>
      <c r="N3" s="29"/>
      <c r="O3" s="29"/>
      <c r="P3" s="29" t="s">
        <v>2940</v>
      </c>
    </row>
    <row r="4">
      <c r="A4" s="28">
        <v>1571.0</v>
      </c>
      <c r="B4" s="29" t="s">
        <v>2941</v>
      </c>
      <c r="C4" s="29" t="s">
        <v>432</v>
      </c>
      <c r="D4" s="29" t="s">
        <v>2571</v>
      </c>
      <c r="E4" s="29" t="s">
        <v>2572</v>
      </c>
      <c r="F4" s="30"/>
      <c r="G4" s="29" t="s">
        <v>441</v>
      </c>
      <c r="H4" s="30"/>
      <c r="I4" s="29" t="s">
        <v>217</v>
      </c>
      <c r="J4" s="30"/>
      <c r="K4" s="29" t="s">
        <v>2942</v>
      </c>
      <c r="L4" s="29" t="s">
        <v>489</v>
      </c>
      <c r="M4" s="29" t="s">
        <v>2943</v>
      </c>
      <c r="N4" s="29"/>
      <c r="O4" s="29"/>
      <c r="P4" s="29" t="s">
        <v>2944</v>
      </c>
    </row>
    <row r="5">
      <c r="A5" s="28">
        <v>8279.0</v>
      </c>
      <c r="B5" s="29" t="s">
        <v>2945</v>
      </c>
      <c r="C5" s="29" t="s">
        <v>432</v>
      </c>
      <c r="D5" s="29" t="s">
        <v>2571</v>
      </c>
      <c r="E5" s="29" t="s">
        <v>2572</v>
      </c>
      <c r="F5" s="30"/>
      <c r="G5" s="29" t="s">
        <v>441</v>
      </c>
      <c r="H5" s="29" t="s">
        <v>469</v>
      </c>
      <c r="I5" s="29" t="s">
        <v>217</v>
      </c>
      <c r="J5" s="30"/>
      <c r="K5" s="29" t="s">
        <v>643</v>
      </c>
      <c r="L5" s="29" t="s">
        <v>2946</v>
      </c>
      <c r="M5" s="29" t="s">
        <v>2947</v>
      </c>
      <c r="N5" s="29"/>
      <c r="O5" s="29"/>
      <c r="P5" s="29" t="s">
        <v>2948</v>
      </c>
    </row>
    <row r="6">
      <c r="A6" s="28">
        <v>8743.0</v>
      </c>
      <c r="B6" s="29" t="s">
        <v>2949</v>
      </c>
      <c r="C6" s="29" t="s">
        <v>432</v>
      </c>
      <c r="D6" s="29" t="s">
        <v>2571</v>
      </c>
      <c r="E6" s="29" t="s">
        <v>2572</v>
      </c>
      <c r="F6" s="29" t="s">
        <v>433</v>
      </c>
      <c r="G6" s="29" t="s">
        <v>450</v>
      </c>
      <c r="H6" s="29" t="s">
        <v>2950</v>
      </c>
      <c r="I6" s="29" t="s">
        <v>137</v>
      </c>
      <c r="J6" s="29" t="s">
        <v>2951</v>
      </c>
      <c r="K6" s="29" t="s">
        <v>649</v>
      </c>
      <c r="L6" s="29" t="s">
        <v>484</v>
      </c>
      <c r="M6" s="29" t="s">
        <v>2952</v>
      </c>
      <c r="N6" s="29"/>
      <c r="O6" s="29"/>
      <c r="P6" s="29" t="s">
        <v>2953</v>
      </c>
    </row>
    <row r="7">
      <c r="A7" s="28">
        <v>9399.0</v>
      </c>
      <c r="B7" s="29" t="s">
        <v>2954</v>
      </c>
      <c r="C7" s="29" t="s">
        <v>432</v>
      </c>
      <c r="D7" s="29" t="s">
        <v>2571</v>
      </c>
      <c r="E7" s="29" t="s">
        <v>2572</v>
      </c>
      <c r="F7" s="30"/>
      <c r="G7" s="29" t="s">
        <v>441</v>
      </c>
      <c r="H7" s="29" t="s">
        <v>474</v>
      </c>
      <c r="I7" s="29" t="s">
        <v>217</v>
      </c>
      <c r="J7" s="30"/>
      <c r="K7" s="30"/>
      <c r="L7" s="29" t="s">
        <v>489</v>
      </c>
      <c r="M7" s="29" t="s">
        <v>2955</v>
      </c>
      <c r="N7" s="29"/>
      <c r="O7" s="29"/>
      <c r="P7" s="29" t="s">
        <v>2956</v>
      </c>
    </row>
    <row r="8">
      <c r="A8" s="28">
        <v>9401.0</v>
      </c>
      <c r="B8" s="29" t="s">
        <v>2957</v>
      </c>
      <c r="C8" s="29" t="s">
        <v>432</v>
      </c>
      <c r="D8" s="29" t="s">
        <v>2571</v>
      </c>
      <c r="E8" s="29" t="s">
        <v>2572</v>
      </c>
      <c r="F8" s="30"/>
      <c r="G8" s="29" t="s">
        <v>441</v>
      </c>
      <c r="H8" s="29" t="s">
        <v>469</v>
      </c>
      <c r="I8" s="29" t="s">
        <v>217</v>
      </c>
      <c r="J8" s="30"/>
      <c r="K8" s="29" t="s">
        <v>2958</v>
      </c>
      <c r="L8" s="29" t="s">
        <v>489</v>
      </c>
      <c r="M8" s="29" t="s">
        <v>2959</v>
      </c>
      <c r="N8" s="29"/>
      <c r="O8" s="29"/>
      <c r="P8" s="29" t="s">
        <v>2960</v>
      </c>
    </row>
    <row r="9">
      <c r="A9" s="28">
        <v>9435.0</v>
      </c>
      <c r="B9" s="29" t="s">
        <v>2961</v>
      </c>
      <c r="C9" s="29" t="s">
        <v>432</v>
      </c>
      <c r="D9" s="29" t="s">
        <v>2571</v>
      </c>
      <c r="E9" s="29" t="s">
        <v>2572</v>
      </c>
      <c r="F9" s="30"/>
      <c r="G9" s="29" t="s">
        <v>441</v>
      </c>
      <c r="H9" s="29" t="s">
        <v>2962</v>
      </c>
      <c r="I9" s="29" t="s">
        <v>2963</v>
      </c>
      <c r="J9" s="30"/>
      <c r="K9" s="29" t="s">
        <v>2964</v>
      </c>
      <c r="L9" s="29" t="s">
        <v>593</v>
      </c>
      <c r="M9" s="29" t="s">
        <v>2965</v>
      </c>
      <c r="N9" s="29"/>
      <c r="O9" s="29"/>
      <c r="P9" s="29" t="s">
        <v>2966</v>
      </c>
    </row>
    <row r="10">
      <c r="A10" s="28">
        <v>9513.0</v>
      </c>
      <c r="B10" s="29" t="s">
        <v>2967</v>
      </c>
      <c r="C10" s="29" t="s">
        <v>432</v>
      </c>
      <c r="D10" s="29" t="s">
        <v>2571</v>
      </c>
      <c r="E10" s="29" t="s">
        <v>2572</v>
      </c>
      <c r="F10" s="30"/>
      <c r="G10" s="29" t="s">
        <v>433</v>
      </c>
      <c r="H10" s="29" t="s">
        <v>2968</v>
      </c>
      <c r="I10" s="29" t="s">
        <v>234</v>
      </c>
      <c r="J10" s="29" t="s">
        <v>2969</v>
      </c>
      <c r="K10" s="29" t="s">
        <v>2970</v>
      </c>
      <c r="L10" s="29" t="s">
        <v>2971</v>
      </c>
      <c r="M10" s="29" t="s">
        <v>570</v>
      </c>
      <c r="N10" s="29"/>
      <c r="O10" s="29"/>
      <c r="P10" s="29" t="s">
        <v>2972</v>
      </c>
    </row>
    <row r="11">
      <c r="A11" s="28">
        <v>10178.0</v>
      </c>
      <c r="B11" s="29" t="s">
        <v>2973</v>
      </c>
      <c r="C11" s="29" t="s">
        <v>432</v>
      </c>
      <c r="D11" s="29" t="s">
        <v>2571</v>
      </c>
      <c r="E11" s="29" t="s">
        <v>2572</v>
      </c>
      <c r="F11" s="30"/>
      <c r="G11" s="29" t="s">
        <v>450</v>
      </c>
      <c r="H11" s="29" t="s">
        <v>434</v>
      </c>
      <c r="I11" s="29" t="s">
        <v>144</v>
      </c>
      <c r="J11" s="30"/>
      <c r="K11" s="30"/>
      <c r="L11" s="29" t="s">
        <v>2974</v>
      </c>
      <c r="M11" s="29" t="s">
        <v>2975</v>
      </c>
      <c r="N11" s="29"/>
      <c r="O11" s="29"/>
      <c r="P11" s="29" t="s">
        <v>2976</v>
      </c>
    </row>
    <row r="12">
      <c r="A12" s="28">
        <v>10508.0</v>
      </c>
      <c r="B12" s="29" t="s">
        <v>2638</v>
      </c>
      <c r="C12" s="29" t="s">
        <v>432</v>
      </c>
      <c r="D12" s="29" t="s">
        <v>2571</v>
      </c>
      <c r="E12" s="29" t="s">
        <v>2572</v>
      </c>
      <c r="F12" s="30"/>
      <c r="G12" s="29" t="s">
        <v>433</v>
      </c>
      <c r="H12" s="29" t="s">
        <v>2977</v>
      </c>
      <c r="I12" s="29" t="s">
        <v>234</v>
      </c>
      <c r="J12" s="30"/>
      <c r="K12" s="29" t="s">
        <v>2978</v>
      </c>
      <c r="L12" s="29" t="s">
        <v>2979</v>
      </c>
      <c r="M12" s="29" t="s">
        <v>2980</v>
      </c>
      <c r="N12" s="29"/>
      <c r="O12" s="29"/>
      <c r="P12" s="29" t="s">
        <v>2981</v>
      </c>
    </row>
    <row r="13">
      <c r="A13" s="28">
        <v>1577.0</v>
      </c>
      <c r="B13" s="29" t="s">
        <v>2982</v>
      </c>
      <c r="C13" s="29" t="s">
        <v>449</v>
      </c>
      <c r="D13" s="29" t="s">
        <v>2642</v>
      </c>
      <c r="E13" s="29" t="s">
        <v>2643</v>
      </c>
      <c r="F13" s="30"/>
      <c r="G13" s="29" t="s">
        <v>441</v>
      </c>
      <c r="H13" s="29" t="s">
        <v>2983</v>
      </c>
      <c r="I13" s="29" t="s">
        <v>41</v>
      </c>
      <c r="J13" s="30"/>
      <c r="K13" s="29" t="s">
        <v>542</v>
      </c>
      <c r="L13" s="29" t="s">
        <v>2984</v>
      </c>
      <c r="M13" s="29" t="s">
        <v>2985</v>
      </c>
      <c r="N13" s="29"/>
      <c r="O13" s="29"/>
      <c r="P13" s="29" t="s">
        <v>2986</v>
      </c>
    </row>
    <row r="14">
      <c r="A14" s="28">
        <v>1579.0</v>
      </c>
      <c r="B14" s="29" t="s">
        <v>2987</v>
      </c>
      <c r="C14" s="29" t="s">
        <v>432</v>
      </c>
      <c r="D14" s="29" t="s">
        <v>2642</v>
      </c>
      <c r="E14" s="29" t="s">
        <v>2643</v>
      </c>
      <c r="F14" s="29" t="s">
        <v>433</v>
      </c>
      <c r="G14" s="29" t="s">
        <v>450</v>
      </c>
      <c r="H14" s="29" t="s">
        <v>551</v>
      </c>
      <c r="I14" s="29" t="s">
        <v>2963</v>
      </c>
      <c r="J14" s="29" t="s">
        <v>2988</v>
      </c>
      <c r="K14" s="29" t="s">
        <v>1315</v>
      </c>
      <c r="L14" s="30"/>
      <c r="M14" s="29" t="s">
        <v>2989</v>
      </c>
      <c r="N14" s="29"/>
      <c r="O14" s="29"/>
      <c r="P14" s="29" t="s">
        <v>2990</v>
      </c>
    </row>
    <row r="15">
      <c r="A15" s="28">
        <v>1582.0</v>
      </c>
      <c r="B15" s="29" t="s">
        <v>2991</v>
      </c>
      <c r="C15" s="29" t="s">
        <v>449</v>
      </c>
      <c r="D15" s="29" t="s">
        <v>2642</v>
      </c>
      <c r="E15" s="29" t="s">
        <v>2643</v>
      </c>
      <c r="F15" s="30"/>
      <c r="G15" s="29" t="s">
        <v>441</v>
      </c>
      <c r="H15" s="29" t="s">
        <v>1157</v>
      </c>
      <c r="I15" s="29" t="s">
        <v>41</v>
      </c>
      <c r="J15" s="30"/>
      <c r="K15" s="29" t="s">
        <v>2992</v>
      </c>
      <c r="L15" s="29" t="s">
        <v>489</v>
      </c>
      <c r="M15" s="29" t="s">
        <v>2993</v>
      </c>
      <c r="N15" s="29"/>
      <c r="O15" s="29"/>
      <c r="P15" s="29" t="s">
        <v>2994</v>
      </c>
    </row>
    <row r="16">
      <c r="A16" s="28">
        <v>1584.0</v>
      </c>
      <c r="B16" s="29" t="s">
        <v>2995</v>
      </c>
      <c r="C16" s="29" t="s">
        <v>432</v>
      </c>
      <c r="D16" s="29" t="s">
        <v>2642</v>
      </c>
      <c r="E16" s="29" t="s">
        <v>2643</v>
      </c>
      <c r="F16" s="30"/>
      <c r="G16" s="29" t="s">
        <v>441</v>
      </c>
      <c r="H16" s="29" t="s">
        <v>469</v>
      </c>
      <c r="I16" s="29" t="s">
        <v>407</v>
      </c>
      <c r="J16" s="30"/>
      <c r="K16" s="29" t="s">
        <v>475</v>
      </c>
      <c r="L16" s="29" t="s">
        <v>476</v>
      </c>
      <c r="M16" s="29" t="s">
        <v>2996</v>
      </c>
      <c r="N16" s="29"/>
      <c r="O16" s="29"/>
      <c r="P16" s="29" t="s">
        <v>2997</v>
      </c>
    </row>
    <row r="17">
      <c r="A17" s="28">
        <v>1585.0</v>
      </c>
      <c r="B17" s="29" t="s">
        <v>2998</v>
      </c>
      <c r="C17" s="29" t="s">
        <v>449</v>
      </c>
      <c r="D17" s="29" t="s">
        <v>2642</v>
      </c>
      <c r="E17" s="29" t="s">
        <v>2643</v>
      </c>
      <c r="F17" s="30"/>
      <c r="G17" s="29" t="s">
        <v>441</v>
      </c>
      <c r="H17" s="29" t="s">
        <v>469</v>
      </c>
      <c r="I17" s="29" t="s">
        <v>41</v>
      </c>
      <c r="J17" s="30"/>
      <c r="K17" s="29" t="s">
        <v>643</v>
      </c>
      <c r="L17" s="29" t="s">
        <v>2541</v>
      </c>
      <c r="M17" s="29" t="s">
        <v>2999</v>
      </c>
      <c r="N17" s="29"/>
      <c r="O17" s="29"/>
      <c r="P17" s="29" t="s">
        <v>3000</v>
      </c>
    </row>
    <row r="18">
      <c r="A18" s="28">
        <v>9514.0</v>
      </c>
      <c r="B18" s="29" t="s">
        <v>3001</v>
      </c>
      <c r="C18" s="29" t="s">
        <v>432</v>
      </c>
      <c r="D18" s="29" t="s">
        <v>2642</v>
      </c>
      <c r="E18" s="29" t="s">
        <v>2643</v>
      </c>
      <c r="F18" s="30"/>
      <c r="G18" s="29" t="s">
        <v>433</v>
      </c>
      <c r="H18" s="29" t="s">
        <v>3002</v>
      </c>
      <c r="I18" s="29" t="s">
        <v>234</v>
      </c>
      <c r="J18" s="29" t="s">
        <v>3003</v>
      </c>
      <c r="K18" s="29" t="s">
        <v>3004</v>
      </c>
      <c r="L18" s="29" t="s">
        <v>3005</v>
      </c>
      <c r="M18" s="29" t="s">
        <v>3006</v>
      </c>
      <c r="N18" s="29"/>
      <c r="O18" s="29"/>
      <c r="P18" s="29" t="s">
        <v>3007</v>
      </c>
    </row>
    <row r="19">
      <c r="A19" s="28">
        <v>10509.0</v>
      </c>
      <c r="B19" s="29" t="s">
        <v>2681</v>
      </c>
      <c r="C19" s="29" t="s">
        <v>432</v>
      </c>
      <c r="D19" s="29" t="s">
        <v>2642</v>
      </c>
      <c r="E19" s="29" t="s">
        <v>2643</v>
      </c>
      <c r="F19" s="30"/>
      <c r="G19" s="29" t="s">
        <v>441</v>
      </c>
      <c r="H19" s="29" t="s">
        <v>3008</v>
      </c>
      <c r="I19" s="29" t="s">
        <v>234</v>
      </c>
      <c r="J19" s="30"/>
      <c r="K19" s="29" t="s">
        <v>3009</v>
      </c>
      <c r="L19" s="29" t="s">
        <v>3010</v>
      </c>
      <c r="M19" s="29" t="s">
        <v>2406</v>
      </c>
      <c r="N19" s="29"/>
      <c r="O19" s="29"/>
      <c r="P19" s="29" t="s">
        <v>3011</v>
      </c>
    </row>
    <row r="20">
      <c r="A20" s="28">
        <v>1592.0</v>
      </c>
      <c r="B20" s="29" t="s">
        <v>3012</v>
      </c>
      <c r="C20" s="29" t="s">
        <v>432</v>
      </c>
      <c r="D20" s="29" t="s">
        <v>2685</v>
      </c>
      <c r="E20" s="29" t="s">
        <v>2686</v>
      </c>
      <c r="F20" s="29" t="s">
        <v>441</v>
      </c>
      <c r="G20" s="29" t="s">
        <v>450</v>
      </c>
      <c r="H20" s="29" t="s">
        <v>3013</v>
      </c>
      <c r="I20" s="29" t="s">
        <v>407</v>
      </c>
      <c r="J20" s="30"/>
      <c r="K20" s="29" t="s">
        <v>3014</v>
      </c>
      <c r="L20" s="29" t="s">
        <v>3015</v>
      </c>
      <c r="M20" s="29" t="s">
        <v>2528</v>
      </c>
      <c r="N20" s="29"/>
      <c r="O20" s="29"/>
      <c r="P20" s="29" t="s">
        <v>3016</v>
      </c>
    </row>
    <row r="21">
      <c r="A21" s="28">
        <v>1594.0</v>
      </c>
      <c r="B21" s="29" t="s">
        <v>3017</v>
      </c>
      <c r="C21" s="29" t="s">
        <v>432</v>
      </c>
      <c r="D21" s="29" t="s">
        <v>2685</v>
      </c>
      <c r="E21" s="29" t="s">
        <v>2686</v>
      </c>
      <c r="F21" s="30"/>
      <c r="G21" s="29" t="s">
        <v>441</v>
      </c>
      <c r="H21" s="29" t="s">
        <v>434</v>
      </c>
      <c r="I21" s="29" t="s">
        <v>144</v>
      </c>
      <c r="J21" s="30"/>
      <c r="K21" s="29" t="s">
        <v>3018</v>
      </c>
      <c r="L21" s="29" t="s">
        <v>489</v>
      </c>
      <c r="M21" s="29" t="s">
        <v>3019</v>
      </c>
      <c r="N21" s="29"/>
      <c r="O21" s="29"/>
      <c r="P21" s="29" t="s">
        <v>3020</v>
      </c>
    </row>
    <row r="22">
      <c r="A22" s="28">
        <v>10140.0</v>
      </c>
      <c r="B22" s="29" t="s">
        <v>3021</v>
      </c>
      <c r="C22" s="29" t="s">
        <v>432</v>
      </c>
      <c r="D22" s="29" t="s">
        <v>2685</v>
      </c>
      <c r="E22" s="29" t="s">
        <v>2686</v>
      </c>
      <c r="F22" s="30"/>
      <c r="G22" s="29" t="s">
        <v>441</v>
      </c>
      <c r="H22" s="29" t="s">
        <v>434</v>
      </c>
      <c r="I22" s="29" t="s">
        <v>3022</v>
      </c>
      <c r="J22" s="30"/>
      <c r="K22" s="29" t="s">
        <v>620</v>
      </c>
      <c r="L22" s="29" t="s">
        <v>1889</v>
      </c>
      <c r="M22" s="29" t="s">
        <v>3023</v>
      </c>
      <c r="N22" s="29"/>
      <c r="O22" s="29"/>
      <c r="P22" s="29" t="s">
        <v>3024</v>
      </c>
    </row>
    <row r="23">
      <c r="A23" s="28">
        <v>8518.0</v>
      </c>
      <c r="B23" s="29" t="s">
        <v>3025</v>
      </c>
      <c r="C23" s="29" t="s">
        <v>432</v>
      </c>
      <c r="D23" s="29" t="s">
        <v>2708</v>
      </c>
      <c r="E23" s="29" t="s">
        <v>2709</v>
      </c>
      <c r="F23" s="30"/>
      <c r="G23" s="29" t="s">
        <v>441</v>
      </c>
      <c r="H23" s="29" t="s">
        <v>434</v>
      </c>
      <c r="I23" s="29" t="s">
        <v>686</v>
      </c>
      <c r="J23" s="30"/>
      <c r="K23" s="29" t="s">
        <v>3026</v>
      </c>
      <c r="L23" s="29" t="s">
        <v>2984</v>
      </c>
      <c r="M23" s="29" t="s">
        <v>3027</v>
      </c>
      <c r="N23" s="29"/>
      <c r="O23" s="29"/>
      <c r="P23" s="29" t="s">
        <v>3028</v>
      </c>
    </row>
    <row r="24">
      <c r="A24" s="28">
        <v>4835.0</v>
      </c>
      <c r="B24" s="29" t="s">
        <v>3029</v>
      </c>
      <c r="C24" s="29" t="s">
        <v>432</v>
      </c>
      <c r="D24" s="29" t="s">
        <v>2716</v>
      </c>
      <c r="E24" s="29" t="s">
        <v>2717</v>
      </c>
      <c r="F24" s="30"/>
      <c r="G24" s="29" t="s">
        <v>441</v>
      </c>
      <c r="H24" s="29" t="s">
        <v>434</v>
      </c>
      <c r="I24" s="29" t="s">
        <v>234</v>
      </c>
      <c r="J24" s="30"/>
      <c r="K24" s="29" t="s">
        <v>598</v>
      </c>
      <c r="L24" s="29" t="s">
        <v>489</v>
      </c>
      <c r="M24" s="29" t="s">
        <v>2423</v>
      </c>
      <c r="N24" s="29"/>
      <c r="O24" s="29"/>
      <c r="P24" s="29" t="s">
        <v>3030</v>
      </c>
    </row>
    <row r="25">
      <c r="A25" s="28">
        <v>10276.0</v>
      </c>
      <c r="B25" s="29" t="s">
        <v>2723</v>
      </c>
      <c r="C25" s="29" t="s">
        <v>432</v>
      </c>
      <c r="D25" s="29" t="s">
        <v>2716</v>
      </c>
      <c r="E25" s="29" t="s">
        <v>2717</v>
      </c>
      <c r="F25" s="30"/>
      <c r="G25" s="29" t="s">
        <v>664</v>
      </c>
      <c r="H25" s="30"/>
      <c r="I25" s="29" t="s">
        <v>407</v>
      </c>
      <c r="J25" s="30"/>
      <c r="K25" s="29" t="s">
        <v>3031</v>
      </c>
      <c r="L25" s="29" t="s">
        <v>3032</v>
      </c>
      <c r="M25" s="29" t="s">
        <v>3033</v>
      </c>
      <c r="N25" s="29"/>
      <c r="O25" s="29"/>
      <c r="P25" s="29" t="s">
        <v>3034</v>
      </c>
    </row>
    <row r="26">
      <c r="A26" s="28">
        <v>8553.0</v>
      </c>
      <c r="B26" s="29" t="s">
        <v>3035</v>
      </c>
      <c r="C26" s="29" t="s">
        <v>449</v>
      </c>
      <c r="D26" s="29" t="s">
        <v>2730</v>
      </c>
      <c r="E26" s="29" t="s">
        <v>2731</v>
      </c>
      <c r="F26" s="30"/>
      <c r="G26" s="29" t="s">
        <v>441</v>
      </c>
      <c r="H26" s="29" t="s">
        <v>3036</v>
      </c>
      <c r="I26" s="29" t="s">
        <v>41</v>
      </c>
      <c r="J26" s="30"/>
      <c r="K26" s="29" t="s">
        <v>1141</v>
      </c>
      <c r="L26" s="29" t="s">
        <v>3037</v>
      </c>
      <c r="M26" s="29" t="s">
        <v>3038</v>
      </c>
      <c r="N26" s="29"/>
      <c r="O26" s="29"/>
      <c r="P26" s="29" t="s">
        <v>3039</v>
      </c>
    </row>
    <row r="27">
      <c r="A27" s="28">
        <v>8555.0</v>
      </c>
      <c r="B27" s="29" t="s">
        <v>3040</v>
      </c>
      <c r="C27" s="29" t="s">
        <v>449</v>
      </c>
      <c r="D27" s="29" t="s">
        <v>2730</v>
      </c>
      <c r="E27" s="29" t="s">
        <v>2731</v>
      </c>
      <c r="F27" s="30"/>
      <c r="G27" s="29" t="s">
        <v>441</v>
      </c>
      <c r="H27" s="29" t="s">
        <v>469</v>
      </c>
      <c r="I27" s="29" t="s">
        <v>41</v>
      </c>
      <c r="J27" s="30"/>
      <c r="K27" s="29" t="s">
        <v>547</v>
      </c>
      <c r="L27" s="29" t="s">
        <v>476</v>
      </c>
      <c r="M27" s="29" t="s">
        <v>3041</v>
      </c>
      <c r="N27" s="29"/>
      <c r="O27" s="29"/>
      <c r="P27" s="29" t="s">
        <v>3042</v>
      </c>
    </row>
    <row r="28">
      <c r="A28" s="28">
        <v>2071.0</v>
      </c>
      <c r="B28" s="29" t="s">
        <v>3043</v>
      </c>
      <c r="C28" s="29" t="s">
        <v>432</v>
      </c>
      <c r="D28" s="29" t="s">
        <v>2747</v>
      </c>
      <c r="E28" s="29" t="s">
        <v>2748</v>
      </c>
      <c r="F28" s="30"/>
      <c r="G28" s="29" t="s">
        <v>441</v>
      </c>
      <c r="H28" s="29" t="s">
        <v>1105</v>
      </c>
      <c r="I28" s="29" t="s">
        <v>580</v>
      </c>
      <c r="J28" s="30"/>
      <c r="K28" s="29" t="s">
        <v>537</v>
      </c>
      <c r="L28" s="29" t="s">
        <v>1159</v>
      </c>
      <c r="M28" s="29" t="s">
        <v>3044</v>
      </c>
      <c r="N28" s="29"/>
      <c r="O28" s="29"/>
      <c r="P28" s="29" t="s">
        <v>3045</v>
      </c>
    </row>
    <row r="29">
      <c r="A29" s="28">
        <v>10348.0</v>
      </c>
      <c r="B29" s="29" t="s">
        <v>3046</v>
      </c>
      <c r="C29" s="29" t="s">
        <v>432</v>
      </c>
      <c r="D29" s="29" t="s">
        <v>2747</v>
      </c>
      <c r="E29" s="29" t="s">
        <v>2748</v>
      </c>
      <c r="F29" s="30"/>
      <c r="G29" s="29" t="s">
        <v>450</v>
      </c>
      <c r="H29" s="29" t="s">
        <v>434</v>
      </c>
      <c r="I29" s="29" t="s">
        <v>144</v>
      </c>
      <c r="J29" s="30"/>
      <c r="K29" s="29" t="s">
        <v>3047</v>
      </c>
      <c r="L29" s="29" t="s">
        <v>3048</v>
      </c>
      <c r="M29" s="29" t="s">
        <v>3049</v>
      </c>
      <c r="N29" s="29"/>
      <c r="O29" s="29"/>
      <c r="P29" s="29" t="s">
        <v>3050</v>
      </c>
    </row>
    <row r="30">
      <c r="A30" s="28">
        <v>1608.0</v>
      </c>
      <c r="B30" s="29" t="s">
        <v>3051</v>
      </c>
      <c r="C30" s="29" t="s">
        <v>432</v>
      </c>
      <c r="D30" s="29" t="s">
        <v>2761</v>
      </c>
      <c r="E30" s="29" t="s">
        <v>2762</v>
      </c>
      <c r="F30" s="30"/>
      <c r="G30" s="29" t="s">
        <v>433</v>
      </c>
      <c r="H30" s="29" t="s">
        <v>1880</v>
      </c>
      <c r="I30" s="29" t="s">
        <v>435</v>
      </c>
      <c r="J30" s="30"/>
      <c r="K30" s="29" t="s">
        <v>547</v>
      </c>
      <c r="L30" s="29" t="s">
        <v>3052</v>
      </c>
      <c r="M30" s="29" t="s">
        <v>3053</v>
      </c>
      <c r="N30" s="29"/>
      <c r="O30" s="29"/>
      <c r="P30" s="29" t="s">
        <v>3054</v>
      </c>
    </row>
    <row r="31">
      <c r="A31" s="28">
        <v>4460.0</v>
      </c>
      <c r="B31" s="29" t="s">
        <v>3055</v>
      </c>
      <c r="C31" s="29" t="s">
        <v>449</v>
      </c>
      <c r="D31" s="29" t="s">
        <v>2768</v>
      </c>
      <c r="E31" s="29" t="s">
        <v>2769</v>
      </c>
      <c r="F31" s="30"/>
      <c r="G31" s="29" t="s">
        <v>433</v>
      </c>
      <c r="H31" s="29" t="s">
        <v>3056</v>
      </c>
      <c r="I31" s="29" t="s">
        <v>41</v>
      </c>
      <c r="J31" s="30"/>
      <c r="K31" s="29" t="s">
        <v>653</v>
      </c>
      <c r="L31" s="29" t="s">
        <v>3057</v>
      </c>
      <c r="M31" s="29" t="s">
        <v>3058</v>
      </c>
      <c r="N31" s="29"/>
      <c r="O31" s="29"/>
      <c r="P31" s="29" t="s">
        <v>3059</v>
      </c>
    </row>
    <row r="32">
      <c r="A32" s="28">
        <v>10286.0</v>
      </c>
      <c r="B32" s="29" t="s">
        <v>3060</v>
      </c>
      <c r="C32" s="29" t="s">
        <v>432</v>
      </c>
      <c r="D32" s="29" t="s">
        <v>2777</v>
      </c>
      <c r="E32" s="29" t="s">
        <v>2778</v>
      </c>
      <c r="F32" s="30"/>
      <c r="G32" s="29" t="s">
        <v>433</v>
      </c>
      <c r="H32" s="29" t="s">
        <v>3061</v>
      </c>
      <c r="I32" s="29" t="s">
        <v>1741</v>
      </c>
      <c r="J32" s="30"/>
      <c r="K32" s="29" t="s">
        <v>3062</v>
      </c>
      <c r="L32" s="29" t="s">
        <v>3063</v>
      </c>
      <c r="M32" s="29" t="s">
        <v>3064</v>
      </c>
      <c r="N32" s="29"/>
      <c r="O32" s="29"/>
      <c r="P32" s="29" t="s">
        <v>3065</v>
      </c>
    </row>
    <row r="33">
      <c r="A33" s="28">
        <v>8587.0</v>
      </c>
      <c r="B33" s="29" t="s">
        <v>3066</v>
      </c>
      <c r="C33" s="29" t="s">
        <v>449</v>
      </c>
      <c r="D33" s="29" t="s">
        <v>2785</v>
      </c>
      <c r="E33" s="29" t="s">
        <v>2786</v>
      </c>
      <c r="F33" s="30"/>
      <c r="G33" s="29" t="s">
        <v>441</v>
      </c>
      <c r="H33" s="29" t="s">
        <v>3067</v>
      </c>
      <c r="I33" s="29" t="s">
        <v>41</v>
      </c>
      <c r="J33" s="30"/>
      <c r="K33" s="29" t="s">
        <v>1293</v>
      </c>
      <c r="L33" s="29" t="s">
        <v>511</v>
      </c>
      <c r="M33" s="29" t="s">
        <v>3068</v>
      </c>
      <c r="N33" s="29"/>
      <c r="O33" s="29"/>
      <c r="P33" s="29" t="s">
        <v>3069</v>
      </c>
    </row>
    <row r="34">
      <c r="A34" s="28">
        <v>1626.0</v>
      </c>
      <c r="B34" s="29" t="s">
        <v>3070</v>
      </c>
      <c r="C34" s="29" t="s">
        <v>432</v>
      </c>
      <c r="D34" s="29" t="s">
        <v>2793</v>
      </c>
      <c r="E34" s="29" t="s">
        <v>2794</v>
      </c>
      <c r="F34" s="29" t="s">
        <v>450</v>
      </c>
      <c r="G34" s="29" t="s">
        <v>450</v>
      </c>
      <c r="H34" s="29" t="s">
        <v>3071</v>
      </c>
      <c r="I34" s="29" t="s">
        <v>144</v>
      </c>
      <c r="J34" s="29" t="s">
        <v>3072</v>
      </c>
      <c r="K34" s="29" t="s">
        <v>2527</v>
      </c>
      <c r="L34" s="30"/>
      <c r="M34" s="29" t="s">
        <v>3073</v>
      </c>
      <c r="N34" s="29"/>
      <c r="O34" s="29"/>
      <c r="P34" s="29" t="s">
        <v>3074</v>
      </c>
    </row>
    <row r="35">
      <c r="A35" s="28">
        <v>9515.0</v>
      </c>
      <c r="B35" s="29" t="s">
        <v>3075</v>
      </c>
      <c r="C35" s="29" t="s">
        <v>432</v>
      </c>
      <c r="D35" s="29" t="s">
        <v>2793</v>
      </c>
      <c r="E35" s="29" t="s">
        <v>2794</v>
      </c>
      <c r="F35" s="30"/>
      <c r="G35" s="29" t="s">
        <v>433</v>
      </c>
      <c r="H35" s="29" t="s">
        <v>3002</v>
      </c>
      <c r="I35" s="29" t="s">
        <v>234</v>
      </c>
      <c r="J35" s="29" t="s">
        <v>3076</v>
      </c>
      <c r="K35" s="29" t="s">
        <v>3004</v>
      </c>
      <c r="L35" s="29" t="s">
        <v>3077</v>
      </c>
      <c r="M35" s="29" t="s">
        <v>570</v>
      </c>
      <c r="N35" s="29"/>
      <c r="O35" s="29"/>
      <c r="P35" s="29" t="s">
        <v>3078</v>
      </c>
    </row>
    <row r="36">
      <c r="A36" s="28">
        <v>10510.0</v>
      </c>
      <c r="B36" s="29" t="s">
        <v>2806</v>
      </c>
      <c r="C36" s="29" t="s">
        <v>432</v>
      </c>
      <c r="D36" s="29" t="s">
        <v>2793</v>
      </c>
      <c r="E36" s="29" t="s">
        <v>2794</v>
      </c>
      <c r="F36" s="30"/>
      <c r="G36" s="29" t="s">
        <v>450</v>
      </c>
      <c r="H36" s="29" t="s">
        <v>1157</v>
      </c>
      <c r="I36" s="29" t="s">
        <v>234</v>
      </c>
      <c r="J36" s="30"/>
      <c r="K36" s="29" t="s">
        <v>3079</v>
      </c>
      <c r="L36" s="29" t="s">
        <v>3080</v>
      </c>
      <c r="M36" s="29" t="s">
        <v>2406</v>
      </c>
      <c r="N36" s="29"/>
      <c r="O36" s="29"/>
      <c r="P36" s="29" t="s">
        <v>3081</v>
      </c>
    </row>
    <row r="37">
      <c r="A37" s="28">
        <v>4806.0</v>
      </c>
      <c r="B37" s="29" t="s">
        <v>3082</v>
      </c>
      <c r="C37" s="29" t="s">
        <v>449</v>
      </c>
      <c r="D37" s="29" t="s">
        <v>2821</v>
      </c>
      <c r="E37" s="29" t="s">
        <v>2822</v>
      </c>
      <c r="F37" s="30"/>
      <c r="G37" s="29" t="s">
        <v>441</v>
      </c>
      <c r="H37" s="29" t="s">
        <v>442</v>
      </c>
      <c r="I37" s="29" t="s">
        <v>41</v>
      </c>
      <c r="J37" s="30"/>
      <c r="K37" s="29" t="s">
        <v>521</v>
      </c>
      <c r="L37" s="29" t="s">
        <v>489</v>
      </c>
      <c r="M37" s="29" t="s">
        <v>3083</v>
      </c>
      <c r="N37" s="29"/>
      <c r="O37" s="29"/>
      <c r="P37" s="29" t="s">
        <v>3084</v>
      </c>
    </row>
    <row r="38">
      <c r="A38" s="28">
        <v>9516.0</v>
      </c>
      <c r="B38" s="29" t="s">
        <v>3085</v>
      </c>
      <c r="C38" s="29" t="s">
        <v>432</v>
      </c>
      <c r="D38" s="29" t="s">
        <v>2821</v>
      </c>
      <c r="E38" s="29" t="s">
        <v>2822</v>
      </c>
      <c r="F38" s="30"/>
      <c r="G38" s="29" t="s">
        <v>433</v>
      </c>
      <c r="H38" s="29" t="s">
        <v>2968</v>
      </c>
      <c r="I38" s="29" t="s">
        <v>234</v>
      </c>
      <c r="J38" s="29" t="s">
        <v>3086</v>
      </c>
      <c r="K38" s="29" t="s">
        <v>3087</v>
      </c>
      <c r="L38" s="29" t="s">
        <v>3088</v>
      </c>
      <c r="M38" s="29" t="s">
        <v>3089</v>
      </c>
      <c r="N38" s="29"/>
      <c r="O38" s="29"/>
      <c r="P38" s="29" t="s">
        <v>3090</v>
      </c>
    </row>
    <row r="39">
      <c r="A39" s="28">
        <v>10511.0</v>
      </c>
      <c r="B39" s="29" t="s">
        <v>3091</v>
      </c>
      <c r="C39" s="29" t="s">
        <v>432</v>
      </c>
      <c r="D39" s="29" t="s">
        <v>2821</v>
      </c>
      <c r="E39" s="29" t="s">
        <v>2822</v>
      </c>
      <c r="F39" s="30"/>
      <c r="G39" s="29" t="s">
        <v>433</v>
      </c>
      <c r="H39" s="29" t="s">
        <v>1157</v>
      </c>
      <c r="I39" s="29" t="s">
        <v>234</v>
      </c>
      <c r="J39" s="30"/>
      <c r="K39" s="29" t="s">
        <v>3079</v>
      </c>
      <c r="L39" s="29" t="s">
        <v>3092</v>
      </c>
      <c r="M39" s="29" t="s">
        <v>2406</v>
      </c>
      <c r="N39" s="29"/>
      <c r="O39" s="29"/>
      <c r="P39" s="29" t="s">
        <v>3093</v>
      </c>
    </row>
    <row r="40">
      <c r="A40" s="28">
        <v>10513.0</v>
      </c>
      <c r="B40" s="29" t="s">
        <v>3094</v>
      </c>
      <c r="C40" s="29" t="s">
        <v>432</v>
      </c>
      <c r="D40" s="29" t="s">
        <v>2821</v>
      </c>
      <c r="E40" s="29" t="s">
        <v>2822</v>
      </c>
      <c r="F40" s="30"/>
      <c r="G40" s="29" t="s">
        <v>441</v>
      </c>
      <c r="H40" s="29" t="s">
        <v>434</v>
      </c>
      <c r="I40" s="29" t="s">
        <v>144</v>
      </c>
      <c r="J40" s="30"/>
      <c r="K40" s="29" t="s">
        <v>3095</v>
      </c>
      <c r="L40" s="29" t="s">
        <v>489</v>
      </c>
      <c r="M40" s="29" t="s">
        <v>3096</v>
      </c>
      <c r="N40" s="29"/>
      <c r="O40" s="29"/>
      <c r="P40" s="29" t="s">
        <v>3097</v>
      </c>
    </row>
    <row r="41">
      <c r="A41" s="28">
        <v>10298.0</v>
      </c>
      <c r="B41" s="29" t="s">
        <v>3098</v>
      </c>
      <c r="C41" s="29" t="s">
        <v>432</v>
      </c>
      <c r="D41" s="29" t="s">
        <v>2856</v>
      </c>
      <c r="E41" s="29" t="s">
        <v>2857</v>
      </c>
      <c r="F41" s="30"/>
      <c r="G41" s="29" t="s">
        <v>610</v>
      </c>
      <c r="H41" s="29" t="s">
        <v>3099</v>
      </c>
      <c r="I41" s="29" t="s">
        <v>3100</v>
      </c>
      <c r="J41" s="29" t="s">
        <v>1874</v>
      </c>
      <c r="K41" s="30"/>
      <c r="L41" s="29" t="s">
        <v>3101</v>
      </c>
      <c r="M41" s="29" t="s">
        <v>3102</v>
      </c>
      <c r="N41" s="29"/>
      <c r="O41" s="29"/>
      <c r="P41" s="29" t="s">
        <v>3103</v>
      </c>
    </row>
    <row r="42">
      <c r="A42" s="28">
        <v>1644.0</v>
      </c>
      <c r="B42" s="29" t="s">
        <v>3104</v>
      </c>
      <c r="C42" s="29" t="s">
        <v>449</v>
      </c>
      <c r="D42" s="29" t="s">
        <v>2864</v>
      </c>
      <c r="E42" s="29" t="s">
        <v>2865</v>
      </c>
      <c r="F42" s="30"/>
      <c r="G42" s="29" t="s">
        <v>441</v>
      </c>
      <c r="H42" s="30"/>
      <c r="I42" s="29" t="s">
        <v>41</v>
      </c>
      <c r="J42" s="30"/>
      <c r="K42" s="29" t="s">
        <v>3105</v>
      </c>
      <c r="L42" s="29" t="s">
        <v>3106</v>
      </c>
      <c r="M42" s="29" t="s">
        <v>3107</v>
      </c>
      <c r="N42" s="29"/>
      <c r="O42" s="29"/>
      <c r="P42" s="29" t="s">
        <v>3108</v>
      </c>
    </row>
    <row r="43">
      <c r="A43" s="28">
        <v>8274.0</v>
      </c>
      <c r="B43" s="29" t="s">
        <v>3109</v>
      </c>
      <c r="C43" s="29" t="s">
        <v>432</v>
      </c>
      <c r="D43" s="29" t="s">
        <v>2864</v>
      </c>
      <c r="E43" s="29" t="s">
        <v>2865</v>
      </c>
      <c r="F43" s="30"/>
      <c r="G43" s="29" t="s">
        <v>441</v>
      </c>
      <c r="H43" s="29" t="s">
        <v>1265</v>
      </c>
      <c r="I43" s="29" t="s">
        <v>443</v>
      </c>
      <c r="J43" s="30"/>
      <c r="K43" s="29" t="s">
        <v>3110</v>
      </c>
      <c r="L43" s="29" t="s">
        <v>3111</v>
      </c>
      <c r="M43" s="29" t="s">
        <v>3112</v>
      </c>
      <c r="N43" s="29"/>
      <c r="O43" s="29"/>
      <c r="P43" s="29" t="s">
        <v>3113</v>
      </c>
    </row>
    <row r="44">
      <c r="A44" s="28">
        <v>8798.0</v>
      </c>
      <c r="B44" s="29" t="s">
        <v>3114</v>
      </c>
      <c r="C44" s="29" t="s">
        <v>449</v>
      </c>
      <c r="D44" s="29" t="s">
        <v>2864</v>
      </c>
      <c r="E44" s="29" t="s">
        <v>2865</v>
      </c>
      <c r="F44" s="30"/>
      <c r="G44" s="29" t="s">
        <v>610</v>
      </c>
      <c r="H44" s="29" t="s">
        <v>3115</v>
      </c>
      <c r="I44" s="29" t="s">
        <v>45</v>
      </c>
      <c r="J44" s="30"/>
      <c r="K44" s="29" t="s">
        <v>3116</v>
      </c>
      <c r="L44" s="30"/>
      <c r="M44" s="29" t="s">
        <v>3117</v>
      </c>
      <c r="N44" s="29"/>
      <c r="O44" s="29"/>
      <c r="P44" s="29" t="s">
        <v>3118</v>
      </c>
    </row>
    <row r="45">
      <c r="A45" s="28">
        <v>8800.0</v>
      </c>
      <c r="B45" s="29" t="s">
        <v>3119</v>
      </c>
      <c r="C45" s="29" t="s">
        <v>449</v>
      </c>
      <c r="D45" s="29" t="s">
        <v>2864</v>
      </c>
      <c r="E45" s="29" t="s">
        <v>2865</v>
      </c>
      <c r="F45" s="30"/>
      <c r="G45" s="29" t="s">
        <v>610</v>
      </c>
      <c r="H45" s="29" t="s">
        <v>434</v>
      </c>
      <c r="I45" s="29" t="s">
        <v>45</v>
      </c>
      <c r="J45" s="30"/>
      <c r="K45" s="29" t="s">
        <v>450</v>
      </c>
      <c r="L45" s="29" t="s">
        <v>3120</v>
      </c>
      <c r="M45" s="29" t="s">
        <v>3121</v>
      </c>
      <c r="N45" s="29"/>
      <c r="O45" s="29"/>
      <c r="P45" s="29" t="s">
        <v>3122</v>
      </c>
    </row>
    <row r="46">
      <c r="A46" s="28">
        <v>9717.0</v>
      </c>
      <c r="B46" s="29" t="s">
        <v>2892</v>
      </c>
      <c r="C46" s="29" t="s">
        <v>432</v>
      </c>
      <c r="D46" s="29" t="s">
        <v>2864</v>
      </c>
      <c r="E46" s="29" t="s">
        <v>2865</v>
      </c>
      <c r="F46" s="30"/>
      <c r="G46" s="29" t="s">
        <v>3123</v>
      </c>
      <c r="H46" s="29" t="s">
        <v>1221</v>
      </c>
      <c r="I46" s="29" t="s">
        <v>234</v>
      </c>
      <c r="J46" s="29" t="s">
        <v>3124</v>
      </c>
      <c r="K46" s="29" t="s">
        <v>1293</v>
      </c>
      <c r="L46" s="29" t="s">
        <v>3125</v>
      </c>
      <c r="M46" s="29" t="s">
        <v>3126</v>
      </c>
      <c r="N46" s="29"/>
      <c r="O46" s="29"/>
      <c r="P46" s="29" t="s">
        <v>3127</v>
      </c>
    </row>
    <row r="47">
      <c r="A47" s="28">
        <v>10349.0</v>
      </c>
      <c r="B47" s="29" t="s">
        <v>3128</v>
      </c>
      <c r="C47" s="29" t="s">
        <v>432</v>
      </c>
      <c r="D47" s="29" t="s">
        <v>2864</v>
      </c>
      <c r="E47" s="29" t="s">
        <v>2865</v>
      </c>
      <c r="F47" s="30"/>
      <c r="G47" s="29" t="s">
        <v>441</v>
      </c>
      <c r="H47" s="29" t="s">
        <v>634</v>
      </c>
      <c r="I47" s="29" t="s">
        <v>144</v>
      </c>
      <c r="J47" s="30"/>
      <c r="K47" s="29" t="s">
        <v>3129</v>
      </c>
      <c r="L47" s="29" t="s">
        <v>3130</v>
      </c>
      <c r="M47" s="29" t="s">
        <v>3131</v>
      </c>
      <c r="N47" s="29"/>
      <c r="O47" s="29"/>
      <c r="P47" s="29" t="s">
        <v>3132</v>
      </c>
    </row>
    <row r="48">
      <c r="A48" s="28">
        <v>1647.0</v>
      </c>
      <c r="B48" s="29" t="s">
        <v>3133</v>
      </c>
      <c r="C48" s="29" t="s">
        <v>449</v>
      </c>
      <c r="D48" s="29" t="s">
        <v>2905</v>
      </c>
      <c r="E48" s="29" t="s">
        <v>2906</v>
      </c>
      <c r="F48" s="30"/>
      <c r="G48" s="29" t="s">
        <v>441</v>
      </c>
      <c r="H48" s="29" t="s">
        <v>434</v>
      </c>
      <c r="I48" s="29" t="s">
        <v>41</v>
      </c>
      <c r="J48" s="30"/>
      <c r="K48" s="29" t="s">
        <v>521</v>
      </c>
      <c r="L48" s="29" t="s">
        <v>522</v>
      </c>
      <c r="M48" s="29" t="s">
        <v>3134</v>
      </c>
      <c r="N48" s="29"/>
      <c r="O48" s="29"/>
      <c r="P48" s="29" t="s">
        <v>3135</v>
      </c>
    </row>
    <row r="49">
      <c r="A49" s="28">
        <v>1650.0</v>
      </c>
      <c r="B49" s="29" t="s">
        <v>3136</v>
      </c>
      <c r="C49" s="29" t="s">
        <v>449</v>
      </c>
      <c r="D49" s="29" t="s">
        <v>2905</v>
      </c>
      <c r="E49" s="29" t="s">
        <v>2906</v>
      </c>
      <c r="F49" s="29" t="s">
        <v>441</v>
      </c>
      <c r="G49" s="29" t="s">
        <v>433</v>
      </c>
      <c r="H49" s="29" t="s">
        <v>3137</v>
      </c>
      <c r="I49" s="29" t="s">
        <v>41</v>
      </c>
      <c r="J49" s="30"/>
      <c r="K49" s="29" t="s">
        <v>693</v>
      </c>
      <c r="L49" s="29" t="s">
        <v>3138</v>
      </c>
      <c r="M49" s="29" t="s">
        <v>3139</v>
      </c>
      <c r="N49" s="29"/>
      <c r="O49" s="29"/>
      <c r="P49" s="29" t="s">
        <v>3140</v>
      </c>
    </row>
    <row r="50">
      <c r="A50" s="28">
        <v>8529.0</v>
      </c>
      <c r="B50" s="29" t="s">
        <v>3141</v>
      </c>
      <c r="C50" s="29" t="s">
        <v>432</v>
      </c>
      <c r="D50" s="29" t="s">
        <v>2905</v>
      </c>
      <c r="E50" s="29" t="s">
        <v>2906</v>
      </c>
      <c r="F50" s="30"/>
      <c r="G50" s="29" t="s">
        <v>441</v>
      </c>
      <c r="H50" s="29" t="s">
        <v>434</v>
      </c>
      <c r="I50" s="29" t="s">
        <v>234</v>
      </c>
      <c r="J50" s="30"/>
      <c r="K50" s="29" t="s">
        <v>537</v>
      </c>
      <c r="L50" s="29" t="s">
        <v>489</v>
      </c>
      <c r="M50" s="29" t="s">
        <v>3142</v>
      </c>
      <c r="N50" s="29"/>
      <c r="O50" s="29"/>
      <c r="P50" s="29" t="s">
        <v>3143</v>
      </c>
    </row>
    <row r="51">
      <c r="A51" s="28">
        <v>8586.0</v>
      </c>
      <c r="B51" s="29" t="s">
        <v>3144</v>
      </c>
      <c r="C51" s="29" t="s">
        <v>432</v>
      </c>
      <c r="D51" s="29" t="s">
        <v>2905</v>
      </c>
      <c r="E51" s="29" t="s">
        <v>2906</v>
      </c>
      <c r="F51" s="30"/>
      <c r="G51" s="29" t="s">
        <v>441</v>
      </c>
      <c r="H51" s="29" t="s">
        <v>3145</v>
      </c>
      <c r="I51" s="29" t="s">
        <v>234</v>
      </c>
      <c r="J51" s="30"/>
      <c r="K51" s="29" t="s">
        <v>3146</v>
      </c>
      <c r="L51" s="29" t="s">
        <v>2984</v>
      </c>
      <c r="M51" s="29" t="s">
        <v>3147</v>
      </c>
      <c r="N51" s="29"/>
      <c r="O51" s="29"/>
      <c r="P51" s="29" t="s">
        <v>3148</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25"/>
    <col customWidth="1" min="3" max="3" width="33.0"/>
    <col customWidth="1" min="11" max="11" width="45.5"/>
  </cols>
  <sheetData>
    <row r="1">
      <c r="A1" s="160" t="s">
        <v>0</v>
      </c>
      <c r="B1" s="160" t="s">
        <v>1</v>
      </c>
      <c r="C1" s="161" t="s">
        <v>2</v>
      </c>
      <c r="D1" s="160" t="s">
        <v>3</v>
      </c>
      <c r="E1" s="160" t="s">
        <v>4</v>
      </c>
      <c r="F1" s="160" t="s">
        <v>5</v>
      </c>
      <c r="G1" s="160" t="s">
        <v>6</v>
      </c>
      <c r="H1" s="160" t="s">
        <v>7</v>
      </c>
      <c r="I1" s="160" t="s">
        <v>8</v>
      </c>
      <c r="J1" s="160" t="s">
        <v>9</v>
      </c>
      <c r="K1" s="160" t="s">
        <v>10</v>
      </c>
      <c r="L1" s="160" t="s">
        <v>13</v>
      </c>
      <c r="M1" s="160" t="s">
        <v>12</v>
      </c>
      <c r="N1" s="162"/>
      <c r="O1" s="162"/>
      <c r="P1" s="162"/>
      <c r="Q1" s="162"/>
      <c r="R1" s="162"/>
      <c r="S1" s="162"/>
    </row>
    <row r="2" hidden="1">
      <c r="A2" s="1">
        <v>1497.0</v>
      </c>
      <c r="B2" s="1" t="s">
        <v>3149</v>
      </c>
      <c r="C2" s="1" t="str">
        <f>IFERROR(__xludf.DUMMYFUNCTION("GOOGLETRANSLATE(B2)"),"Climate agenda: resilient,
prosperous and green")</f>
        <v>Climate agenda: resilient,
prosperous and green</v>
      </c>
      <c r="D2" s="1" t="s">
        <v>3150</v>
      </c>
      <c r="E2" s="1" t="s">
        <v>3151</v>
      </c>
      <c r="F2" s="1" t="s">
        <v>1541</v>
      </c>
      <c r="G2" s="1"/>
      <c r="H2" s="1">
        <v>2013.0</v>
      </c>
      <c r="I2" s="1" t="s">
        <v>3152</v>
      </c>
      <c r="J2" s="1" t="s">
        <v>3153</v>
      </c>
      <c r="K2" s="4" t="s">
        <v>3154</v>
      </c>
      <c r="L2" s="1" t="s">
        <v>23</v>
      </c>
    </row>
    <row r="3" hidden="1">
      <c r="A3" s="1">
        <v>1497.0</v>
      </c>
      <c r="B3" s="1" t="s">
        <v>3155</v>
      </c>
      <c r="C3" s="1" t="str">
        <f>IFERROR(__xludf.DUMMYFUNCTION("GOOGLETRANSLATE(B3)"),"Climate Agenda:
resilient, prosperous and green")</f>
        <v>Climate Agenda:
resilient, prosperous and green</v>
      </c>
      <c r="D3" s="1" t="s">
        <v>3150</v>
      </c>
      <c r="E3" s="1" t="s">
        <v>3151</v>
      </c>
      <c r="F3" s="1" t="s">
        <v>1541</v>
      </c>
      <c r="G3" s="1"/>
      <c r="H3" s="1">
        <v>2013.0</v>
      </c>
      <c r="I3" s="1" t="s">
        <v>24</v>
      </c>
      <c r="J3" s="1" t="s">
        <v>3156</v>
      </c>
      <c r="K3" s="4" t="s">
        <v>3157</v>
      </c>
      <c r="L3" s="1" t="s">
        <v>23</v>
      </c>
    </row>
    <row r="4" hidden="1">
      <c r="A4" s="1">
        <v>1499.0</v>
      </c>
      <c r="B4" s="1" t="s">
        <v>3158</v>
      </c>
      <c r="C4" s="1" t="s">
        <v>3159</v>
      </c>
      <c r="D4" s="1" t="s">
        <v>3150</v>
      </c>
      <c r="E4" s="1" t="s">
        <v>3151</v>
      </c>
      <c r="F4" s="1" t="s">
        <v>407</v>
      </c>
      <c r="G4" s="1"/>
      <c r="H4" s="1">
        <v>2011.0</v>
      </c>
      <c r="I4" s="1" t="s">
        <v>3152</v>
      </c>
      <c r="J4" s="1" t="s">
        <v>3160</v>
      </c>
      <c r="K4" s="4" t="s">
        <v>3161</v>
      </c>
      <c r="L4" s="1" t="s">
        <v>23</v>
      </c>
    </row>
    <row r="5" hidden="1">
      <c r="A5" s="1">
        <v>1499.0</v>
      </c>
      <c r="B5" s="1" t="s">
        <v>3159</v>
      </c>
      <c r="C5" s="1" t="str">
        <f>IFERROR(__xludf.DUMMYFUNCTION("GOOGLETRANSLATE(B5)"),"Energy Report
Transition to sustainable energy")</f>
        <v>Energy Report
Transition to sustainable energy</v>
      </c>
      <c r="D5" s="1" t="s">
        <v>3150</v>
      </c>
      <c r="E5" s="1" t="s">
        <v>3151</v>
      </c>
      <c r="F5" s="1" t="s">
        <v>407</v>
      </c>
      <c r="G5" s="1"/>
      <c r="H5" s="1">
        <v>2011.0</v>
      </c>
      <c r="I5" s="1" t="s">
        <v>24</v>
      </c>
      <c r="J5" s="1" t="s">
        <v>3162</v>
      </c>
      <c r="K5" s="4" t="s">
        <v>3163</v>
      </c>
      <c r="L5" s="1" t="s">
        <v>23</v>
      </c>
    </row>
    <row r="6" hidden="1">
      <c r="A6" s="1">
        <v>1505.0</v>
      </c>
      <c r="B6" s="163" t="s">
        <v>3164</v>
      </c>
      <c r="C6" s="1" t="str">
        <f>IFERROR(__xludf.DUMMYFUNCTION("GOOGLETRANSLATE(B6)"),"ENVIRONMENTAL MANAGEMENT ACT")</f>
        <v>ENVIRONMENTAL MANAGEMENT ACT</v>
      </c>
      <c r="D6" s="1" t="s">
        <v>3150</v>
      </c>
      <c r="E6" s="1" t="s">
        <v>3151</v>
      </c>
      <c r="F6" s="1" t="s">
        <v>45</v>
      </c>
      <c r="G6" s="1"/>
      <c r="H6" s="1">
        <v>2004.0</v>
      </c>
      <c r="I6" s="1" t="s">
        <v>24</v>
      </c>
      <c r="J6" s="1" t="s">
        <v>3165</v>
      </c>
      <c r="K6" s="4" t="s">
        <v>3166</v>
      </c>
      <c r="L6" s="1" t="s">
        <v>23</v>
      </c>
    </row>
    <row r="7" hidden="1">
      <c r="A7" s="1">
        <v>1505.0</v>
      </c>
      <c r="B7" s="1" t="s">
        <v>3167</v>
      </c>
      <c r="C7" s="1" t="str">
        <f>IFERROR(__xludf.DUMMYFUNCTION("GOOGLETRANSLATE(B7)"),"Laws of environmental Conservation")</f>
        <v>Laws of environmental Conservation</v>
      </c>
      <c r="D7" s="1" t="s">
        <v>3150</v>
      </c>
      <c r="E7" s="1" t="s">
        <v>3151</v>
      </c>
      <c r="F7" s="1" t="s">
        <v>41</v>
      </c>
      <c r="G7" s="1"/>
      <c r="H7" s="1">
        <v>2020.0</v>
      </c>
      <c r="I7" s="1" t="s">
        <v>3152</v>
      </c>
      <c r="J7" s="1" t="s">
        <v>3168</v>
      </c>
      <c r="K7" s="4" t="s">
        <v>3169</v>
      </c>
      <c r="L7" s="1" t="s">
        <v>839</v>
      </c>
    </row>
    <row r="8" hidden="1">
      <c r="A8" s="1">
        <v>1506.0</v>
      </c>
      <c r="B8" s="1" t="s">
        <v>3170</v>
      </c>
      <c r="C8" s="1" t="str">
        <f>IFERROR(__xludf.DUMMYFUNCTION("GOOGLETRANSLATE(B8)"),"Electricity Act 1998")</f>
        <v>Electricity Act 1998</v>
      </c>
      <c r="D8" s="1" t="s">
        <v>3150</v>
      </c>
      <c r="E8" s="1" t="s">
        <v>3151</v>
      </c>
      <c r="F8" s="1" t="s">
        <v>41</v>
      </c>
      <c r="G8" s="1"/>
      <c r="H8" s="1">
        <v>1998.0</v>
      </c>
      <c r="I8" s="1" t="s">
        <v>3152</v>
      </c>
      <c r="J8" s="1" t="s">
        <v>3171</v>
      </c>
      <c r="K8" s="4" t="s">
        <v>3172</v>
      </c>
      <c r="L8" s="1" t="s">
        <v>37</v>
      </c>
    </row>
    <row r="9" hidden="1">
      <c r="A9" s="1">
        <v>1506.0</v>
      </c>
      <c r="B9" s="1" t="s">
        <v>3173</v>
      </c>
      <c r="C9" s="1" t="str">
        <f>IFERROR(__xludf.DUMMYFUNCTION("GOOGLETRANSLATE(B9)"),"Amendment of the Electricity Act 1998 and of
The Gas Act (Progress Energy Transition)")</f>
        <v>Amendment of the Electricity Act 1998 and of
The Gas Act (Progress Energy Transition)</v>
      </c>
      <c r="D9" s="1" t="s">
        <v>3150</v>
      </c>
      <c r="E9" s="1" t="s">
        <v>3151</v>
      </c>
      <c r="F9" s="1" t="s">
        <v>41</v>
      </c>
      <c r="G9" s="1"/>
      <c r="H9" s="1">
        <v>2018.0</v>
      </c>
      <c r="I9" s="1" t="s">
        <v>3152</v>
      </c>
      <c r="J9" s="1" t="s">
        <v>3174</v>
      </c>
      <c r="K9" s="4" t="s">
        <v>3175</v>
      </c>
      <c r="L9" s="1" t="s">
        <v>23</v>
      </c>
    </row>
    <row r="10" hidden="1">
      <c r="A10" s="1">
        <v>9367.0</v>
      </c>
      <c r="B10" s="1" t="s">
        <v>3176</v>
      </c>
      <c r="C10" s="1" t="str">
        <f>IFERROR(__xludf.DUMMYFUNCTION("GOOGLETRANSLATE(B10)"),"Climate Act adopted by the Senate")</f>
        <v>Climate Act adopted by the Senate</v>
      </c>
      <c r="D10" s="1" t="s">
        <v>3150</v>
      </c>
      <c r="E10" s="1" t="s">
        <v>3151</v>
      </c>
      <c r="F10" s="1" t="s">
        <v>41</v>
      </c>
      <c r="G10" s="1"/>
      <c r="H10" s="1">
        <v>2019.0</v>
      </c>
      <c r="I10" s="1" t="s">
        <v>3152</v>
      </c>
      <c r="J10" s="1" t="s">
        <v>3177</v>
      </c>
      <c r="K10" s="4" t="s">
        <v>3178</v>
      </c>
      <c r="L10" s="1" t="s">
        <v>92</v>
      </c>
    </row>
    <row r="11" hidden="1">
      <c r="A11" s="1">
        <v>9367.0</v>
      </c>
      <c r="B11" s="1" t="s">
        <v>3179</v>
      </c>
      <c r="C11" s="18" t="s">
        <v>3180</v>
      </c>
      <c r="D11" s="1" t="s">
        <v>3150</v>
      </c>
      <c r="E11" s="1" t="s">
        <v>3151</v>
      </c>
      <c r="F11" s="1" t="s">
        <v>41</v>
      </c>
      <c r="G11" s="1"/>
      <c r="H11" s="1">
        <v>2022.0</v>
      </c>
      <c r="I11" s="1" t="s">
        <v>3152</v>
      </c>
      <c r="J11" s="1" t="s">
        <v>3181</v>
      </c>
      <c r="K11" s="4" t="s">
        <v>3182</v>
      </c>
      <c r="L11" s="1" t="s">
        <v>839</v>
      </c>
    </row>
    <row r="12" hidden="1">
      <c r="A12" s="1">
        <v>9367.0</v>
      </c>
      <c r="B12" s="1" t="s">
        <v>3183</v>
      </c>
      <c r="C12" s="18" t="s">
        <v>3180</v>
      </c>
      <c r="D12" s="1" t="s">
        <v>3150</v>
      </c>
      <c r="E12" s="1" t="s">
        <v>3151</v>
      </c>
      <c r="F12" s="1" t="s">
        <v>41</v>
      </c>
      <c r="G12" s="1"/>
      <c r="H12" s="1">
        <v>2019.0</v>
      </c>
      <c r="I12" s="1" t="s">
        <v>3152</v>
      </c>
      <c r="J12" s="1" t="s">
        <v>3184</v>
      </c>
      <c r="K12" s="4" t="s">
        <v>3185</v>
      </c>
      <c r="L12" s="1" t="s">
        <v>23</v>
      </c>
    </row>
    <row r="13">
      <c r="A13" s="1">
        <v>9368.0</v>
      </c>
      <c r="B13" s="1" t="s">
        <v>3186</v>
      </c>
      <c r="C13" s="1" t="str">
        <f>IFERROR(__xludf.DUMMYFUNCTION("GOOGLETRANSLATE(B13)"),"Energy agreement for sustainable growth")</f>
        <v>Energy agreement for sustainable growth</v>
      </c>
      <c r="D13" s="1" t="s">
        <v>3150</v>
      </c>
      <c r="E13" s="1" t="s">
        <v>3151</v>
      </c>
      <c r="F13" s="9" t="s">
        <v>3187</v>
      </c>
      <c r="G13" s="1"/>
      <c r="H13" s="1">
        <v>2013.0</v>
      </c>
      <c r="I13" s="1" t="s">
        <v>3152</v>
      </c>
      <c r="J13" s="1" t="s">
        <v>3188</v>
      </c>
      <c r="K13" s="4" t="s">
        <v>3189</v>
      </c>
      <c r="L13" s="1" t="s">
        <v>229</v>
      </c>
    </row>
    <row r="14">
      <c r="A14" s="1">
        <v>9368.0</v>
      </c>
      <c r="B14" s="1" t="s">
        <v>3190</v>
      </c>
      <c r="C14" s="1" t="str">
        <f>IFERROR(__xludf.DUMMYFUNCTION("GOOGLETRANSLATE(B14)"),"Energy Agreement")</f>
        <v>Energy Agreement</v>
      </c>
      <c r="D14" s="1" t="s">
        <v>3150</v>
      </c>
      <c r="E14" s="1" t="s">
        <v>3151</v>
      </c>
      <c r="F14" s="9" t="s">
        <v>3187</v>
      </c>
      <c r="G14" s="1"/>
      <c r="H14" s="1">
        <v>2014.0</v>
      </c>
      <c r="I14" s="1" t="s">
        <v>3152</v>
      </c>
      <c r="J14" s="1" t="s">
        <v>3191</v>
      </c>
      <c r="K14" s="4" t="s">
        <v>3192</v>
      </c>
      <c r="L14" s="1" t="s">
        <v>92</v>
      </c>
    </row>
    <row r="15" hidden="1">
      <c r="A15" s="1">
        <v>9455.0</v>
      </c>
      <c r="B15" s="1" t="s">
        <v>3193</v>
      </c>
      <c r="C15" s="1" t="str">
        <f>IFERROR(__xludf.DUMMYFUNCTION("GOOGLETRANSLATE(B15)"),"Government Strategy on Hydrogen")</f>
        <v>Government Strategy on Hydrogen</v>
      </c>
      <c r="D15" s="1" t="s">
        <v>3150</v>
      </c>
      <c r="E15" s="1" t="s">
        <v>3151</v>
      </c>
      <c r="F15" s="1" t="s">
        <v>144</v>
      </c>
      <c r="G15" s="1"/>
      <c r="H15" s="1">
        <v>2020.0</v>
      </c>
      <c r="I15" s="1" t="s">
        <v>24</v>
      </c>
      <c r="J15" s="1" t="s">
        <v>3194</v>
      </c>
      <c r="K15" s="4" t="s">
        <v>3195</v>
      </c>
      <c r="L15" s="1" t="s">
        <v>23</v>
      </c>
    </row>
    <row r="16">
      <c r="A16" s="1">
        <v>9455.0</v>
      </c>
      <c r="B16" s="164" t="s">
        <v>3196</v>
      </c>
      <c r="C16" s="164" t="s">
        <v>3197</v>
      </c>
      <c r="D16" s="1" t="s">
        <v>3150</v>
      </c>
      <c r="E16" s="1" t="s">
        <v>3151</v>
      </c>
      <c r="F16" s="1" t="s">
        <v>253</v>
      </c>
      <c r="G16" s="164"/>
      <c r="H16" s="164">
        <v>2020.0</v>
      </c>
      <c r="I16" s="1" t="s">
        <v>3152</v>
      </c>
      <c r="J16" s="1" t="s">
        <v>3198</v>
      </c>
      <c r="K16" s="150" t="s">
        <v>3199</v>
      </c>
      <c r="L16" s="1" t="s">
        <v>23</v>
      </c>
    </row>
    <row r="17" hidden="1">
      <c r="A17" s="1">
        <v>9511.0</v>
      </c>
      <c r="B17" s="1" t="s">
        <v>3200</v>
      </c>
      <c r="C17" s="1" t="str">
        <f>IFERROR(__xludf.DUMMYFUNCTION("GOOGLETRANSLATE(B17)"),"Integrated National
Energy and Climate
Plan")</f>
        <v>Integrated National
Energy and Climate
Plan</v>
      </c>
      <c r="D17" s="1" t="s">
        <v>3150</v>
      </c>
      <c r="E17" s="1" t="s">
        <v>3151</v>
      </c>
      <c r="F17" s="1" t="s">
        <v>234</v>
      </c>
      <c r="G17" s="1"/>
      <c r="H17" s="1">
        <v>2019.0</v>
      </c>
      <c r="I17" s="1" t="s">
        <v>24</v>
      </c>
      <c r="J17" s="1" t="s">
        <v>3201</v>
      </c>
      <c r="K17" s="4" t="s">
        <v>3202</v>
      </c>
      <c r="L17" s="1" t="s">
        <v>23</v>
      </c>
    </row>
    <row r="18" hidden="1">
      <c r="A18" s="1">
        <v>9511.0</v>
      </c>
      <c r="B18" s="1" t="s">
        <v>3203</v>
      </c>
      <c r="C18" s="1" t="str">
        <f>IFERROR(__xludf.DUMMYFUNCTION("GOOGLETRANSLATE(B18)"),"Integral
Energy and Climate Plan")</f>
        <v>Integral
Energy and Climate Plan</v>
      </c>
      <c r="D18" s="1" t="s">
        <v>3150</v>
      </c>
      <c r="E18" s="1" t="s">
        <v>3151</v>
      </c>
      <c r="F18" s="1" t="s">
        <v>234</v>
      </c>
      <c r="G18" s="1"/>
      <c r="H18" s="1">
        <v>2019.0</v>
      </c>
      <c r="I18" s="1" t="s">
        <v>3152</v>
      </c>
      <c r="J18" s="1" t="s">
        <v>3204</v>
      </c>
      <c r="K18" s="4" t="s">
        <v>3205</v>
      </c>
      <c r="L18" s="1" t="s">
        <v>23</v>
      </c>
    </row>
    <row r="19" hidden="1">
      <c r="A19" s="1">
        <v>1513.0</v>
      </c>
      <c r="B19" s="1" t="s">
        <v>3206</v>
      </c>
      <c r="C19" s="1" t="str">
        <f>IFERROR(__xludf.DUMMYFUNCTION("GOOGLETRANSLATE(B19)"),"Climate Change Response Act 2002")</f>
        <v>Climate Change Response Act 2002</v>
      </c>
      <c r="D19" s="1" t="s">
        <v>3207</v>
      </c>
      <c r="E19" s="1" t="s">
        <v>3208</v>
      </c>
      <c r="F19" s="1" t="s">
        <v>45</v>
      </c>
      <c r="G19" s="1"/>
      <c r="H19" s="1">
        <v>2002.0</v>
      </c>
      <c r="I19" s="1" t="s">
        <v>24</v>
      </c>
      <c r="J19" s="1" t="s">
        <v>3209</v>
      </c>
      <c r="K19" s="4" t="s">
        <v>3210</v>
      </c>
      <c r="L19" s="1" t="s">
        <v>23</v>
      </c>
    </row>
    <row r="20" hidden="1">
      <c r="A20" s="1">
        <v>1513.0</v>
      </c>
      <c r="B20" s="1" t="s">
        <v>3211</v>
      </c>
      <c r="C20" s="1" t="str">
        <f>IFERROR(__xludf.DUMMYFUNCTION("GOOGLETRANSLATE(B20)"),"Climate Change Response (Zero Carbon) Amendment Act 2019")</f>
        <v>Climate Change Response (Zero Carbon) Amendment Act 2019</v>
      </c>
      <c r="D20" s="1" t="s">
        <v>3207</v>
      </c>
      <c r="E20" s="1" t="s">
        <v>3208</v>
      </c>
      <c r="F20" s="1" t="s">
        <v>45</v>
      </c>
      <c r="G20" s="1"/>
      <c r="H20" s="1">
        <v>2019.0</v>
      </c>
      <c r="I20" s="1" t="s">
        <v>24</v>
      </c>
      <c r="J20" s="1" t="s">
        <v>3212</v>
      </c>
      <c r="K20" s="4" t="s">
        <v>3213</v>
      </c>
      <c r="L20" s="1" t="s">
        <v>92</v>
      </c>
    </row>
    <row r="21" hidden="1">
      <c r="A21" s="1">
        <v>1513.0</v>
      </c>
      <c r="B21" s="1" t="s">
        <v>3214</v>
      </c>
      <c r="C21" s="1" t="str">
        <f>IFERROR(__xludf.DUMMYFUNCTION("GOOGLETRANSLATE(B21)"),"Climate Change Response (Emissions Trading Reform) Amendment Act 2020")</f>
        <v>Climate Change Response (Emissions Trading Reform) Amendment Act 2020</v>
      </c>
      <c r="D21" s="1" t="s">
        <v>3207</v>
      </c>
      <c r="E21" s="1" t="s">
        <v>3208</v>
      </c>
      <c r="F21" s="1" t="s">
        <v>45</v>
      </c>
      <c r="G21" s="1"/>
      <c r="H21" s="1">
        <v>2020.0</v>
      </c>
      <c r="I21" s="1" t="s">
        <v>24</v>
      </c>
      <c r="J21" s="4" t="s">
        <v>3215</v>
      </c>
      <c r="K21" s="4" t="s">
        <v>3216</v>
      </c>
      <c r="L21" s="1" t="s">
        <v>92</v>
      </c>
    </row>
    <row r="22" hidden="1">
      <c r="A22" s="1">
        <v>4972.0</v>
      </c>
      <c r="B22" s="1" t="s">
        <v>3217</v>
      </c>
      <c r="C22" s="18" t="s">
        <v>3218</v>
      </c>
      <c r="D22" s="1" t="s">
        <v>3219</v>
      </c>
      <c r="E22" s="1" t="s">
        <v>3220</v>
      </c>
      <c r="F22" s="1" t="s">
        <v>41</v>
      </c>
      <c r="G22" s="1"/>
      <c r="H22" s="1">
        <v>2012.0</v>
      </c>
      <c r="I22" s="1" t="s">
        <v>924</v>
      </c>
      <c r="J22" s="1" t="s">
        <v>3221</v>
      </c>
      <c r="K22" s="4" t="s">
        <v>3222</v>
      </c>
      <c r="L22" s="1" t="s">
        <v>23</v>
      </c>
    </row>
    <row r="23" hidden="1">
      <c r="A23" s="1">
        <v>4972.0</v>
      </c>
      <c r="B23" s="1" t="s">
        <v>3223</v>
      </c>
      <c r="C23" s="1" t="str">
        <f>IFERROR(__xludf.DUMMYFUNCTION("GOOGLETRANSLATE(B23)"),"
Reform and Addition Law to Law No. 532, Law for the promotion of electricity generation with renewable sources and its reforms")</f>
        <v>
Reform and Addition Law to Law No. 532, Law for the promotion of electricity generation with renewable sources and its reforms</v>
      </c>
      <c r="D23" s="1" t="s">
        <v>3219</v>
      </c>
      <c r="E23" s="1" t="s">
        <v>3220</v>
      </c>
      <c r="F23" s="1" t="s">
        <v>41</v>
      </c>
      <c r="G23" s="1"/>
      <c r="H23" s="1">
        <v>2020.0</v>
      </c>
      <c r="I23" s="1" t="s">
        <v>924</v>
      </c>
      <c r="J23" s="4" t="s">
        <v>3224</v>
      </c>
      <c r="K23" s="4" t="s">
        <v>3225</v>
      </c>
      <c r="L23" s="1" t="s">
        <v>2253</v>
      </c>
    </row>
    <row r="24" hidden="1">
      <c r="A24" s="1">
        <v>9396.0</v>
      </c>
      <c r="B24" s="1" t="s">
        <v>3226</v>
      </c>
      <c r="C24" s="1" t="str">
        <f>IFERROR(__xludf.DUMMYFUNCTION("GOOGLETRANSLATE(B24)"),"Renewable distributed generation regulations for self -consumption")</f>
        <v>Renewable distributed generation regulations for self -consumption</v>
      </c>
      <c r="D24" s="1" t="s">
        <v>3219</v>
      </c>
      <c r="E24" s="1" t="s">
        <v>3220</v>
      </c>
      <c r="F24" s="1" t="s">
        <v>34</v>
      </c>
      <c r="G24" s="1"/>
      <c r="H24" s="1">
        <v>2017.0</v>
      </c>
      <c r="I24" s="1" t="s">
        <v>924</v>
      </c>
      <c r="J24" s="1" t="s">
        <v>3227</v>
      </c>
      <c r="K24" s="4" t="s">
        <v>3228</v>
      </c>
      <c r="L24" s="1" t="s">
        <v>23</v>
      </c>
    </row>
    <row r="25" hidden="1">
      <c r="A25" s="1">
        <v>9396.0</v>
      </c>
      <c r="B25" s="1" t="s">
        <v>3229</v>
      </c>
      <c r="C25" s="1" t="str">
        <f>IFERROR(__xludf.DUMMYFUNCTION("GOOGLETRANSLATE(B25)"),"Law No. 1011 Law of Reform to Law No. 272, law of the electricity industry and its reforms")</f>
        <v>Law No. 1011 Law of Reform to Law No. 272, law of the electricity industry and its reforms</v>
      </c>
      <c r="D25" s="1" t="s">
        <v>3219</v>
      </c>
      <c r="E25" s="1" t="s">
        <v>3220</v>
      </c>
      <c r="F25" s="1" t="s">
        <v>41</v>
      </c>
      <c r="G25" s="1"/>
      <c r="H25" s="1">
        <v>2019.0</v>
      </c>
      <c r="I25" s="1" t="s">
        <v>924</v>
      </c>
      <c r="J25" s="1" t="s">
        <v>3230</v>
      </c>
      <c r="K25" s="4" t="s">
        <v>3231</v>
      </c>
      <c r="L25" s="1" t="s">
        <v>275</v>
      </c>
    </row>
    <row r="26" hidden="1">
      <c r="A26" s="1">
        <v>9396.0</v>
      </c>
      <c r="B26" s="1" t="s">
        <v>3232</v>
      </c>
      <c r="C26" s="1" t="str">
        <f>IFERROR(__xludf.DUMMYFUNCTION("GOOGLETRANSLATE(B26)"),"ELECTRICAL INDUSTRY LAW")</f>
        <v>ELECTRICAL INDUSTRY LAW</v>
      </c>
      <c r="D26" s="1" t="s">
        <v>3219</v>
      </c>
      <c r="E26" s="1" t="s">
        <v>3220</v>
      </c>
      <c r="F26" s="1" t="s">
        <v>41</v>
      </c>
      <c r="G26" s="9"/>
      <c r="H26" s="9">
        <v>1998.0</v>
      </c>
      <c r="I26" s="1" t="s">
        <v>924</v>
      </c>
      <c r="J26" s="1" t="s">
        <v>3233</v>
      </c>
      <c r="K26" s="4" t="s">
        <v>3234</v>
      </c>
      <c r="L26" s="1" t="s">
        <v>23</v>
      </c>
    </row>
    <row r="27" hidden="1">
      <c r="A27" s="1">
        <v>9488.0</v>
      </c>
      <c r="B27" s="1" t="s">
        <v>3235</v>
      </c>
      <c r="C27" s="1" t="str">
        <f>IFERROR(__xludf.DUMMYFUNCTION("GOOGLETRANSLATE(B27)"),"Bouncing Back: Nigeria Economic Sustainability Plan")</f>
        <v>Bouncing Back: Nigeria Economic Sustainability Plan</v>
      </c>
      <c r="D27" s="1" t="s">
        <v>3236</v>
      </c>
      <c r="E27" s="1" t="s">
        <v>3237</v>
      </c>
      <c r="F27" s="1" t="s">
        <v>234</v>
      </c>
      <c r="G27" s="1"/>
      <c r="H27" s="1">
        <v>2020.0</v>
      </c>
      <c r="I27" s="1" t="s">
        <v>24</v>
      </c>
      <c r="J27" s="1" t="s">
        <v>3238</v>
      </c>
      <c r="K27" s="4" t="s">
        <v>3239</v>
      </c>
      <c r="L27" s="1" t="s">
        <v>23</v>
      </c>
    </row>
    <row r="28" hidden="1">
      <c r="A28" s="1">
        <v>9488.0</v>
      </c>
      <c r="B28" s="1" t="s">
        <v>3240</v>
      </c>
      <c r="C28" s="1" t="str">
        <f>IFERROR(__xludf.DUMMYFUNCTION("GOOGLETRANSLATE(B28)"),"What You Need to Know About the Nigeria Economic Sustainability Plan")</f>
        <v>What You Need to Know About the Nigeria Economic Sustainability Plan</v>
      </c>
      <c r="D28" s="1" t="s">
        <v>3236</v>
      </c>
      <c r="E28" s="1" t="s">
        <v>3237</v>
      </c>
      <c r="F28" s="9" t="s">
        <v>3241</v>
      </c>
      <c r="G28" s="1"/>
      <c r="H28" s="1">
        <v>2020.0</v>
      </c>
      <c r="I28" s="1" t="s">
        <v>24</v>
      </c>
      <c r="J28" s="1" t="s">
        <v>3242</v>
      </c>
      <c r="K28" s="4" t="s">
        <v>3243</v>
      </c>
      <c r="L28" s="1" t="s">
        <v>326</v>
      </c>
    </row>
    <row r="29">
      <c r="A29" s="1">
        <v>1518.0</v>
      </c>
      <c r="B29" s="1" t="s">
        <v>3244</v>
      </c>
      <c r="C29" s="1" t="str">
        <f>IFERROR(__xludf.DUMMYFUNCTION("GOOGLETRANSLATE(B29)"),"Climate adaptation in Norway")</f>
        <v>Climate adaptation in Norway</v>
      </c>
      <c r="D29" s="1" t="s">
        <v>3245</v>
      </c>
      <c r="E29" s="1" t="s">
        <v>3246</v>
      </c>
      <c r="F29" s="9" t="s">
        <v>144</v>
      </c>
      <c r="G29" s="1"/>
      <c r="H29" s="1">
        <v>2012.0</v>
      </c>
      <c r="I29" s="1" t="s">
        <v>3247</v>
      </c>
      <c r="J29" s="1" t="s">
        <v>3248</v>
      </c>
      <c r="K29" s="4" t="s">
        <v>3249</v>
      </c>
      <c r="L29" s="1" t="s">
        <v>23</v>
      </c>
    </row>
    <row r="30">
      <c r="A30" s="1">
        <v>1518.0</v>
      </c>
      <c r="B30" s="1" t="s">
        <v>3250</v>
      </c>
      <c r="C30" s="1" t="str">
        <f>IFERROR(__xludf.DUMMYFUNCTION("GOOGLETRANSLATE(B30)"),"Climate change adaptation
in Norway")</f>
        <v>Climate change adaptation
in Norway</v>
      </c>
      <c r="D30" s="1" t="s">
        <v>3245</v>
      </c>
      <c r="E30" s="1" t="s">
        <v>3246</v>
      </c>
      <c r="F30" s="9" t="s">
        <v>144</v>
      </c>
      <c r="G30" s="1"/>
      <c r="H30" s="1">
        <v>2012.0</v>
      </c>
      <c r="I30" s="1" t="s">
        <v>24</v>
      </c>
      <c r="J30" s="1" t="s">
        <v>3251</v>
      </c>
      <c r="K30" s="4" t="s">
        <v>3252</v>
      </c>
      <c r="L30" s="1" t="s">
        <v>23</v>
      </c>
    </row>
    <row r="31" hidden="1">
      <c r="A31" s="1">
        <v>1520.0</v>
      </c>
      <c r="B31" s="1" t="s">
        <v>3253</v>
      </c>
      <c r="C31" s="1" t="str">
        <f>IFERROR(__xludf.DUMMYFUNCTION("GOOGLETRANSLATE(B31)"),"Law on Electric Certificates")</f>
        <v>Law on Electric Certificates</v>
      </c>
      <c r="D31" s="1" t="s">
        <v>3245</v>
      </c>
      <c r="E31" s="1" t="s">
        <v>3246</v>
      </c>
      <c r="F31" s="1" t="s">
        <v>45</v>
      </c>
      <c r="G31" s="1"/>
      <c r="H31" s="1">
        <v>2011.0</v>
      </c>
      <c r="I31" s="1" t="s">
        <v>3247</v>
      </c>
      <c r="J31" s="1" t="s">
        <v>3254</v>
      </c>
      <c r="K31" s="4" t="s">
        <v>3255</v>
      </c>
      <c r="L31" s="1" t="s">
        <v>37</v>
      </c>
    </row>
    <row r="32" hidden="1">
      <c r="A32" s="1">
        <v>1520.0</v>
      </c>
      <c r="B32" s="1" t="s">
        <v>3256</v>
      </c>
      <c r="C32" s="1" t="str">
        <f>IFERROR(__xludf.DUMMYFUNCTION("GOOGLETRANSLATE(B32)"),"No. 39: Act on elcertificate")</f>
        <v>No. 39: Act on elcertificate</v>
      </c>
      <c r="D32" s="1" t="s">
        <v>3245</v>
      </c>
      <c r="E32" s="1" t="s">
        <v>3246</v>
      </c>
      <c r="F32" s="1" t="s">
        <v>45</v>
      </c>
      <c r="G32" s="1"/>
      <c r="H32" s="1">
        <v>2011.0</v>
      </c>
      <c r="I32" s="1" t="s">
        <v>24</v>
      </c>
      <c r="J32" s="1" t="s">
        <v>3257</v>
      </c>
      <c r="K32" s="4" t="s">
        <v>3258</v>
      </c>
      <c r="L32" s="1" t="s">
        <v>23</v>
      </c>
    </row>
    <row r="33" hidden="1">
      <c r="A33" s="1">
        <v>1522.0</v>
      </c>
      <c r="B33" s="1" t="s">
        <v>3259</v>
      </c>
      <c r="C33" s="1" t="str">
        <f>IFERROR(__xludf.DUMMYFUNCTION("GOOGLETRANSLATE(B33)"),"VAT act of 19 June 2009 no. 58")</f>
        <v>VAT act of 19 June 2009 no. 58</v>
      </c>
      <c r="D33" s="1" t="s">
        <v>3245</v>
      </c>
      <c r="E33" s="1" t="s">
        <v>3246</v>
      </c>
      <c r="F33" s="1" t="s">
        <v>45</v>
      </c>
      <c r="G33" s="1"/>
      <c r="H33" s="1">
        <v>2009.0</v>
      </c>
      <c r="I33" s="1" t="s">
        <v>24</v>
      </c>
      <c r="J33" s="1" t="s">
        <v>3260</v>
      </c>
      <c r="K33" s="4" t="s">
        <v>3261</v>
      </c>
      <c r="L33" s="1" t="s">
        <v>23</v>
      </c>
    </row>
    <row r="34">
      <c r="A34" s="1">
        <v>1522.0</v>
      </c>
      <c r="B34" s="1" t="s">
        <v>3262</v>
      </c>
      <c r="C34" s="1" t="str">
        <f>IFERROR(__xludf.DUMMYFUNCTION("GOOGLETRANSLATE(B34)"),"Value Added Tax Act (Value Added Tax Act)")</f>
        <v>Value Added Tax Act (Value Added Tax Act)</v>
      </c>
      <c r="D34" s="1" t="s">
        <v>3245</v>
      </c>
      <c r="E34" s="1" t="s">
        <v>3246</v>
      </c>
      <c r="F34" s="9" t="s">
        <v>45</v>
      </c>
      <c r="G34" s="1"/>
      <c r="H34" s="1">
        <v>2009.0</v>
      </c>
      <c r="I34" s="1" t="s">
        <v>3247</v>
      </c>
      <c r="J34" s="1" t="s">
        <v>3263</v>
      </c>
      <c r="K34" s="4" t="s">
        <v>3264</v>
      </c>
      <c r="L34" s="1" t="s">
        <v>37</v>
      </c>
    </row>
    <row r="35" hidden="1">
      <c r="A35" s="1">
        <v>1523.0</v>
      </c>
      <c r="B35" s="1" t="s">
        <v>3265</v>
      </c>
      <c r="C35" s="1" t="str">
        <f>IFERROR(__xludf.DUMMYFUNCTION("GOOGLETRANSLATE(B35)"),"Act on planning and construction case processing (Planning and Building Act)")</f>
        <v>Act on planning and construction case processing (Planning and Building Act)</v>
      </c>
      <c r="D35" s="1" t="s">
        <v>3245</v>
      </c>
      <c r="E35" s="1" t="s">
        <v>3246</v>
      </c>
      <c r="F35" s="1" t="s">
        <v>41</v>
      </c>
      <c r="G35" s="1"/>
      <c r="H35" s="1">
        <v>2008.0</v>
      </c>
      <c r="I35" s="1" t="s">
        <v>3247</v>
      </c>
      <c r="J35" s="1" t="s">
        <v>3266</v>
      </c>
      <c r="K35" s="4" t="s">
        <v>3267</v>
      </c>
      <c r="L35" s="1" t="s">
        <v>37</v>
      </c>
    </row>
    <row r="36" hidden="1">
      <c r="A36" s="1">
        <v>1523.0</v>
      </c>
      <c r="B36" s="1" t="s">
        <v>3268</v>
      </c>
      <c r="C36" s="1" t="str">
        <f>IFERROR(__xludf.DUMMYFUNCTION("GOOGLETRANSLATE(B36)"),"Planning and Building Act (2008)")</f>
        <v>Planning and Building Act (2008)</v>
      </c>
      <c r="D36" s="1" t="s">
        <v>3245</v>
      </c>
      <c r="E36" s="1" t="s">
        <v>3246</v>
      </c>
      <c r="F36" s="1" t="s">
        <v>45</v>
      </c>
      <c r="G36" s="1"/>
      <c r="H36" s="1">
        <v>2008.0</v>
      </c>
      <c r="I36" s="1" t="s">
        <v>24</v>
      </c>
      <c r="J36" s="1" t="s">
        <v>3269</v>
      </c>
      <c r="K36" s="4" t="s">
        <v>3270</v>
      </c>
      <c r="L36" s="1" t="s">
        <v>37</v>
      </c>
    </row>
    <row r="37" hidden="1">
      <c r="A37" s="1">
        <v>1524.0</v>
      </c>
      <c r="B37" s="1" t="s">
        <v>3271</v>
      </c>
      <c r="C37" s="18" t="s">
        <v>3272</v>
      </c>
      <c r="D37" s="1" t="s">
        <v>3245</v>
      </c>
      <c r="E37" s="1" t="s">
        <v>3246</v>
      </c>
      <c r="F37" s="1" t="s">
        <v>41</v>
      </c>
      <c r="G37" s="1"/>
      <c r="H37" s="1">
        <v>2004.0</v>
      </c>
      <c r="I37" s="1" t="s">
        <v>3247</v>
      </c>
      <c r="J37" s="1" t="s">
        <v>3273</v>
      </c>
      <c r="K37" s="4" t="s">
        <v>3274</v>
      </c>
      <c r="L37" s="1" t="s">
        <v>37</v>
      </c>
    </row>
    <row r="38" hidden="1">
      <c r="A38" s="1">
        <v>1524.0</v>
      </c>
      <c r="B38" s="1" t="s">
        <v>3272</v>
      </c>
      <c r="C38" s="1" t="str">
        <f>IFERROR(__xludf.DUMMYFUNCTION("GOOGLETRANSLATE(B38)"),"Greenhouse Gas Emission Trading Act")</f>
        <v>Greenhouse Gas Emission Trading Act</v>
      </c>
      <c r="D38" s="1" t="s">
        <v>3245</v>
      </c>
      <c r="E38" s="1" t="s">
        <v>3246</v>
      </c>
      <c r="F38" s="1" t="s">
        <v>45</v>
      </c>
      <c r="G38" s="1"/>
      <c r="H38" s="1">
        <v>2004.0</v>
      </c>
      <c r="I38" s="1" t="s">
        <v>24</v>
      </c>
      <c r="J38" s="1" t="s">
        <v>3275</v>
      </c>
      <c r="K38" s="4" t="s">
        <v>3276</v>
      </c>
      <c r="L38" s="1" t="s">
        <v>37</v>
      </c>
    </row>
    <row r="39" hidden="1">
      <c r="A39" s="1">
        <v>1525.0</v>
      </c>
      <c r="B39" s="1" t="s">
        <v>767</v>
      </c>
      <c r="C39" s="1" t="str">
        <f>IFERROR(__xludf.DUMMYFUNCTION("GOOGLETRANSLATE(B39)"),"Energy Act")</f>
        <v>Energy Act</v>
      </c>
      <c r="D39" s="1" t="s">
        <v>3245</v>
      </c>
      <c r="E39" s="1" t="s">
        <v>3246</v>
      </c>
      <c r="F39" s="1" t="s">
        <v>45</v>
      </c>
      <c r="G39" s="1"/>
      <c r="H39" s="1">
        <v>1990.0</v>
      </c>
      <c r="I39" s="1" t="s">
        <v>3247</v>
      </c>
      <c r="J39" s="1" t="s">
        <v>3277</v>
      </c>
      <c r="K39" s="4" t="s">
        <v>3278</v>
      </c>
      <c r="L39" s="1" t="s">
        <v>37</v>
      </c>
    </row>
    <row r="40" hidden="1">
      <c r="A40" s="1">
        <v>1525.0</v>
      </c>
      <c r="B40" s="1" t="s">
        <v>767</v>
      </c>
      <c r="C40" s="1" t="str">
        <f>IFERROR(__xludf.DUMMYFUNCTION("GOOGLETRANSLATE(B40)"),"Energy Act")</f>
        <v>Energy Act</v>
      </c>
      <c r="D40" s="1" t="s">
        <v>3245</v>
      </c>
      <c r="E40" s="1" t="s">
        <v>3246</v>
      </c>
      <c r="F40" s="1" t="s">
        <v>45</v>
      </c>
      <c r="G40" s="1"/>
      <c r="H40" s="1">
        <v>1990.0</v>
      </c>
      <c r="I40" s="1" t="s">
        <v>24</v>
      </c>
      <c r="J40" s="1" t="s">
        <v>3279</v>
      </c>
      <c r="K40" s="4" t="s">
        <v>3280</v>
      </c>
      <c r="L40" s="1" t="s">
        <v>23</v>
      </c>
    </row>
    <row r="41" hidden="1">
      <c r="A41" s="1">
        <v>1526.0</v>
      </c>
      <c r="B41" s="1" t="s">
        <v>3281</v>
      </c>
      <c r="C41" s="1" t="str">
        <f>IFERROR(__xludf.DUMMYFUNCTION("GOOGLETRANSLATE(B41)"),"Act on control of products and consumer services")</f>
        <v>Act on control of products and consumer services</v>
      </c>
      <c r="D41" s="1" t="s">
        <v>3245</v>
      </c>
      <c r="E41" s="1" t="s">
        <v>3246</v>
      </c>
      <c r="F41" s="1" t="s">
        <v>41</v>
      </c>
      <c r="G41" s="1"/>
      <c r="H41" s="1">
        <v>1976.0</v>
      </c>
      <c r="I41" s="1" t="s">
        <v>3247</v>
      </c>
      <c r="J41" s="1" t="s">
        <v>3282</v>
      </c>
      <c r="K41" s="4" t="s">
        <v>3283</v>
      </c>
      <c r="L41" s="1" t="s">
        <v>37</v>
      </c>
    </row>
    <row r="42" hidden="1">
      <c r="A42" s="1">
        <v>1526.0</v>
      </c>
      <c r="B42" s="1" t="s">
        <v>3284</v>
      </c>
      <c r="C42" s="1" t="str">
        <f>IFERROR(__xludf.DUMMYFUNCTION("GOOGLETRANSLATE(B42)"),"Product Control Act")</f>
        <v>Product Control Act</v>
      </c>
      <c r="D42" s="1" t="s">
        <v>3245</v>
      </c>
      <c r="E42" s="1" t="s">
        <v>3246</v>
      </c>
      <c r="F42" s="1" t="s">
        <v>45</v>
      </c>
      <c r="G42" s="1"/>
      <c r="H42" s="1">
        <v>1976.0</v>
      </c>
      <c r="I42" s="1" t="s">
        <v>24</v>
      </c>
      <c r="J42" s="1" t="s">
        <v>3285</v>
      </c>
      <c r="K42" s="4" t="s">
        <v>3286</v>
      </c>
      <c r="L42" s="1" t="s">
        <v>37</v>
      </c>
    </row>
    <row r="43" hidden="1">
      <c r="A43" s="1">
        <v>8887.0</v>
      </c>
      <c r="B43" s="1" t="s">
        <v>3287</v>
      </c>
      <c r="C43" s="1" t="str">
        <f>IFERROR(__xludf.DUMMYFUNCTION("GOOGLETRANSLATE(B43)"),"Law on Compensation for Natural Damage
(Natural Damage Compensation Act)")</f>
        <v>Law on Compensation for Natural Damage
(Natural Damage Compensation Act)</v>
      </c>
      <c r="D43" s="1" t="s">
        <v>3245</v>
      </c>
      <c r="E43" s="1" t="s">
        <v>3246</v>
      </c>
      <c r="F43" s="1" t="s">
        <v>45</v>
      </c>
      <c r="G43" s="1"/>
      <c r="H43" s="1">
        <v>2014.0</v>
      </c>
      <c r="I43" s="1" t="s">
        <v>3247</v>
      </c>
      <c r="J43" s="1" t="s">
        <v>3288</v>
      </c>
      <c r="K43" s="4" t="s">
        <v>3289</v>
      </c>
      <c r="L43" s="1" t="s">
        <v>23</v>
      </c>
    </row>
    <row r="44" hidden="1">
      <c r="A44" s="1">
        <v>8887.0</v>
      </c>
      <c r="B44" s="1" t="s">
        <v>3290</v>
      </c>
      <c r="C44" s="1" t="str">
        <f>IFERROR(__xludf.DUMMYFUNCTION("GOOGLETRANSLATE(B44)"),"Act on compensation for natural damage (Natural
Damage Compensation Act)")</f>
        <v>Act on compensation for natural damage (Natural
Damage Compensation Act)</v>
      </c>
      <c r="D44" s="1" t="s">
        <v>3245</v>
      </c>
      <c r="E44" s="1" t="s">
        <v>3246</v>
      </c>
      <c r="F44" s="1" t="s">
        <v>45</v>
      </c>
      <c r="G44" s="1"/>
      <c r="H44" s="1">
        <v>2014.0</v>
      </c>
      <c r="I44" s="1" t="s">
        <v>24</v>
      </c>
      <c r="J44" s="1" t="s">
        <v>3291</v>
      </c>
      <c r="K44" s="4" t="s">
        <v>3292</v>
      </c>
      <c r="L44" s="1" t="s">
        <v>23</v>
      </c>
    </row>
    <row r="45" hidden="1">
      <c r="A45" s="9">
        <v>8887.0</v>
      </c>
      <c r="B45" s="9" t="s">
        <v>3290</v>
      </c>
      <c r="C45" s="9" t="str">
        <f>IFERROR(__xludf.DUMMYFUNCTION("GOOGLETRANSLATE(B45)"),"Act on compensation for natural damage (Natural
Damage Compensation Act)")</f>
        <v>Act on compensation for natural damage (Natural
Damage Compensation Act)</v>
      </c>
      <c r="D45" s="9" t="s">
        <v>3245</v>
      </c>
      <c r="E45" s="9" t="s">
        <v>3246</v>
      </c>
      <c r="F45" s="9" t="s">
        <v>45</v>
      </c>
      <c r="G45" s="9"/>
      <c r="H45" s="9">
        <v>2014.0</v>
      </c>
      <c r="I45" s="9" t="s">
        <v>24</v>
      </c>
      <c r="J45" s="9" t="s">
        <v>3293</v>
      </c>
      <c r="K45" s="24" t="s">
        <v>3294</v>
      </c>
      <c r="L45" s="9" t="s">
        <v>23</v>
      </c>
      <c r="M45" s="3"/>
      <c r="N45" s="3"/>
      <c r="O45" s="3"/>
      <c r="P45" s="3"/>
      <c r="Q45" s="3"/>
      <c r="R45" s="3"/>
      <c r="S45" s="3"/>
    </row>
    <row r="46" hidden="1">
      <c r="A46" s="9">
        <v>8887.0</v>
      </c>
      <c r="B46" s="9" t="s">
        <v>3295</v>
      </c>
      <c r="C46" s="9" t="str">
        <f>IFERROR(__xludf.DUMMYFUNCTION("GOOGLETRANSLATE(B46)"),"Myanmar Climate Change Policy")</f>
        <v>Myanmar Climate Change Policy</v>
      </c>
      <c r="D46" s="9" t="s">
        <v>3296</v>
      </c>
      <c r="E46" s="9" t="s">
        <v>3297</v>
      </c>
      <c r="F46" s="9" t="s">
        <v>407</v>
      </c>
      <c r="G46" s="9"/>
      <c r="H46" s="9">
        <v>2019.0</v>
      </c>
      <c r="I46" s="9" t="s">
        <v>3298</v>
      </c>
      <c r="J46" s="9" t="s">
        <v>3299</v>
      </c>
      <c r="K46" s="24" t="s">
        <v>3300</v>
      </c>
      <c r="L46" s="9" t="s">
        <v>37</v>
      </c>
      <c r="M46" s="9" t="s">
        <v>24</v>
      </c>
      <c r="N46" s="3"/>
      <c r="O46" s="3"/>
      <c r="P46" s="3"/>
      <c r="Q46" s="3"/>
      <c r="R46" s="3"/>
      <c r="S46" s="3"/>
    </row>
    <row r="47" hidden="1">
      <c r="A47" s="1">
        <v>8891.0</v>
      </c>
      <c r="B47" s="1" t="s">
        <v>3287</v>
      </c>
      <c r="C47" s="1" t="str">
        <f>IFERROR(__xludf.DUMMYFUNCTION("GOOGLETRANSLATE(B47)"),"Law on Compensation for Natural Damage
(Natural Damage Compensation Act)")</f>
        <v>Law on Compensation for Natural Damage
(Natural Damage Compensation Act)</v>
      </c>
      <c r="D47" s="1" t="s">
        <v>3245</v>
      </c>
      <c r="E47" s="1" t="s">
        <v>3246</v>
      </c>
      <c r="F47" s="1" t="s">
        <v>45</v>
      </c>
      <c r="G47" s="1"/>
      <c r="H47" s="1">
        <v>2014.0</v>
      </c>
      <c r="I47" s="1" t="s">
        <v>3247</v>
      </c>
      <c r="J47" s="1" t="s">
        <v>3301</v>
      </c>
      <c r="K47" s="4" t="s">
        <v>3302</v>
      </c>
      <c r="L47" s="1" t="s">
        <v>23</v>
      </c>
    </row>
    <row r="48" hidden="1">
      <c r="A48" s="1">
        <v>8891.0</v>
      </c>
      <c r="B48" s="1" t="s">
        <v>3290</v>
      </c>
      <c r="C48" s="1" t="str">
        <f>IFERROR(__xludf.DUMMYFUNCTION("GOOGLETRANSLATE(B48)"),"Act on compensation for natural damage (Natural
Damage Compensation Act)")</f>
        <v>Act on compensation for natural damage (Natural
Damage Compensation Act)</v>
      </c>
      <c r="D48" s="1" t="s">
        <v>3245</v>
      </c>
      <c r="E48" s="1" t="s">
        <v>3246</v>
      </c>
      <c r="F48" s="1" t="s">
        <v>45</v>
      </c>
      <c r="G48" s="1"/>
      <c r="H48" s="1">
        <v>2014.0</v>
      </c>
      <c r="I48" s="1" t="s">
        <v>24</v>
      </c>
      <c r="J48" s="1" t="s">
        <v>3303</v>
      </c>
      <c r="K48" s="4" t="s">
        <v>3304</v>
      </c>
      <c r="L48" s="1" t="s">
        <v>23</v>
      </c>
    </row>
    <row r="49" hidden="1">
      <c r="A49" s="1">
        <v>9749.0</v>
      </c>
      <c r="B49" s="1" t="s">
        <v>3305</v>
      </c>
      <c r="C49" s="1" t="str">
        <f>IFERROR(__xludf.DUMMYFUNCTION("GOOGLETRANSLATE(B49)"),"Norway’s comprehensive climate action plan")</f>
        <v>Norway’s comprehensive climate action plan</v>
      </c>
      <c r="D49" s="1" t="s">
        <v>3245</v>
      </c>
      <c r="E49" s="1" t="s">
        <v>3246</v>
      </c>
      <c r="F49" s="1" t="s">
        <v>234</v>
      </c>
      <c r="G49" s="1"/>
      <c r="H49" s="1">
        <v>2021.0</v>
      </c>
      <c r="I49" s="1" t="s">
        <v>24</v>
      </c>
      <c r="J49" s="1" t="s">
        <v>3306</v>
      </c>
      <c r="K49" s="4" t="s">
        <v>3307</v>
      </c>
      <c r="L49" s="1" t="s">
        <v>92</v>
      </c>
    </row>
    <row r="50">
      <c r="A50" s="1">
        <v>9749.0</v>
      </c>
      <c r="B50" s="9" t="s">
        <v>3308</v>
      </c>
      <c r="C50" s="9" t="str">
        <f>IFERROR(__xludf.DUMMYFUNCTION("GOOGLETRANSLATE(B50)"),"Overview of all the government will point in the message")</f>
        <v>Overview of all the government will point in the message</v>
      </c>
      <c r="D50" s="1" t="s">
        <v>3245</v>
      </c>
      <c r="E50" s="1" t="s">
        <v>3246</v>
      </c>
      <c r="F50" s="9" t="s">
        <v>407</v>
      </c>
      <c r="G50" s="3"/>
      <c r="H50" s="3"/>
      <c r="I50" s="1" t="s">
        <v>3247</v>
      </c>
      <c r="J50" s="1" t="s">
        <v>3309</v>
      </c>
      <c r="K50" s="4" t="s">
        <v>3310</v>
      </c>
      <c r="L50" s="1" t="s">
        <v>23</v>
      </c>
    </row>
    <row r="51" hidden="1">
      <c r="A51" s="1">
        <v>10252.0</v>
      </c>
      <c r="B51" s="165" t="s">
        <v>3311</v>
      </c>
      <c r="C51" s="1" t="s">
        <v>3312</v>
      </c>
      <c r="D51" s="1" t="s">
        <v>3313</v>
      </c>
      <c r="E51" s="1" t="s">
        <v>3314</v>
      </c>
      <c r="F51" s="1" t="s">
        <v>253</v>
      </c>
      <c r="G51" s="1"/>
      <c r="H51" s="1">
        <v>2021.0</v>
      </c>
      <c r="I51" s="1" t="s">
        <v>335</v>
      </c>
      <c r="J51" s="1" t="s">
        <v>3315</v>
      </c>
      <c r="K51" s="4" t="s">
        <v>3316</v>
      </c>
      <c r="L51" s="1" t="s">
        <v>23</v>
      </c>
    </row>
    <row r="52" hidden="1">
      <c r="A52" s="1">
        <v>10252.0</v>
      </c>
      <c r="B52" s="10" t="s">
        <v>3311</v>
      </c>
      <c r="C52" s="1" t="s">
        <v>3312</v>
      </c>
      <c r="D52" s="1" t="s">
        <v>3313</v>
      </c>
      <c r="E52" s="1" t="s">
        <v>3314</v>
      </c>
      <c r="F52" s="1" t="s">
        <v>253</v>
      </c>
      <c r="G52" s="1"/>
      <c r="H52" s="1">
        <v>2021.0</v>
      </c>
      <c r="I52" s="1" t="s">
        <v>24</v>
      </c>
      <c r="J52" s="1" t="s">
        <v>3317</v>
      </c>
      <c r="K52" s="4" t="s">
        <v>3318</v>
      </c>
      <c r="L52" s="1" t="s">
        <v>23</v>
      </c>
    </row>
    <row r="53" hidden="1">
      <c r="A53" s="1">
        <v>8685.0</v>
      </c>
      <c r="B53" s="1" t="s">
        <v>3319</v>
      </c>
      <c r="C53" s="1" t="str">
        <f>IFERROR(__xludf.DUMMYFUNCTION("GOOGLETRANSLATE(B53)"),"Decrees that creates an incentive program for forest coverage and the conservation of natural forests, and dictates other provisions")</f>
        <v>Decrees that creates an incentive program for forest coverage and the conservation of natural forests, and dictates other provisions</v>
      </c>
      <c r="D53" s="1" t="s">
        <v>3320</v>
      </c>
      <c r="E53" s="1" t="s">
        <v>3321</v>
      </c>
      <c r="F53" s="1" t="s">
        <v>18</v>
      </c>
      <c r="G53" s="1"/>
      <c r="H53" s="1">
        <v>2017.0</v>
      </c>
      <c r="I53" s="1" t="s">
        <v>924</v>
      </c>
      <c r="J53" s="1" t="s">
        <v>3322</v>
      </c>
      <c r="K53" s="4" t="s">
        <v>3323</v>
      </c>
      <c r="L53" s="1" t="s">
        <v>23</v>
      </c>
    </row>
    <row r="54" hidden="1">
      <c r="A54" s="1">
        <v>8685.0</v>
      </c>
      <c r="B54" s="1" t="s">
        <v>3319</v>
      </c>
      <c r="C54" s="1" t="str">
        <f>IFERROR(__xludf.DUMMYFUNCTION("GOOGLETRANSLATE(B54)"),"Decrees that creates an incentive program for forest coverage and the conservation of natural forests, and dictates other provisions")</f>
        <v>Decrees that creates an incentive program for forest coverage and the conservation of natural forests, and dictates other provisions</v>
      </c>
      <c r="D54" s="1" t="s">
        <v>3320</v>
      </c>
      <c r="E54" s="1" t="s">
        <v>3321</v>
      </c>
      <c r="F54" s="1" t="s">
        <v>18</v>
      </c>
      <c r="G54" s="1"/>
      <c r="H54" s="1">
        <v>2017.0</v>
      </c>
      <c r="I54" s="1" t="s">
        <v>924</v>
      </c>
      <c r="J54" s="1" t="s">
        <v>3324</v>
      </c>
      <c r="K54" s="4" t="s">
        <v>3325</v>
      </c>
      <c r="L54" s="1" t="s">
        <v>275</v>
      </c>
    </row>
    <row r="55" hidden="1">
      <c r="A55" s="1">
        <v>9719.0</v>
      </c>
      <c r="B55" s="1" t="s">
        <v>3326</v>
      </c>
      <c r="C55" s="1" t="str">
        <f>IFERROR(__xludf.DUMMYFUNCTION("GOOGLETRANSLATE(B55)"),"Cabinet Resolution No. 103: which approves the National Electric Mobility Strategy (ENME)")</f>
        <v>Cabinet Resolution No. 103: which approves the National Electric Mobility Strategy (ENME)</v>
      </c>
      <c r="D55" s="1" t="s">
        <v>3320</v>
      </c>
      <c r="E55" s="1" t="s">
        <v>3321</v>
      </c>
      <c r="F55" s="1" t="s">
        <v>137</v>
      </c>
      <c r="G55" s="1"/>
      <c r="H55" s="1">
        <v>2019.0</v>
      </c>
      <c r="I55" s="1" t="s">
        <v>924</v>
      </c>
      <c r="J55" s="1" t="s">
        <v>3327</v>
      </c>
      <c r="K55" s="4" t="s">
        <v>3328</v>
      </c>
      <c r="L55" s="1" t="s">
        <v>23</v>
      </c>
    </row>
    <row r="56" hidden="1">
      <c r="A56" s="1">
        <v>9719.0</v>
      </c>
      <c r="B56" s="1" t="s">
        <v>3329</v>
      </c>
      <c r="C56" s="1" t="str">
        <f>IFERROR(__xludf.DUMMYFUNCTION("GOOGLETRANSLATE(B56)"),"National Panama Electric Mobility Strategy")</f>
        <v>National Panama Electric Mobility Strategy</v>
      </c>
      <c r="D56" s="1" t="s">
        <v>3320</v>
      </c>
      <c r="E56" s="1" t="s">
        <v>3321</v>
      </c>
      <c r="F56" s="1" t="s">
        <v>144</v>
      </c>
      <c r="G56" s="1"/>
      <c r="H56" s="1">
        <v>2019.0</v>
      </c>
      <c r="I56" s="1" t="s">
        <v>924</v>
      </c>
      <c r="J56" s="1" t="s">
        <v>3330</v>
      </c>
      <c r="K56" s="4" t="s">
        <v>3331</v>
      </c>
      <c r="L56" s="1" t="s">
        <v>23</v>
      </c>
    </row>
    <row r="57" hidden="1">
      <c r="A57" s="1">
        <v>10172.0</v>
      </c>
      <c r="B57" s="1" t="s">
        <v>3332</v>
      </c>
      <c r="C57" s="1" t="str">
        <f>IFERROR(__xludf.DUMMYFUNCTION("GOOGLETRANSLATE(B57)"),"Executive Decree No. 34: that approves the National Climate Change Strategy 2050")</f>
        <v>Executive Decree No. 34: that approves the National Climate Change Strategy 2050</v>
      </c>
      <c r="D57" s="1" t="s">
        <v>3320</v>
      </c>
      <c r="E57" s="1" t="s">
        <v>3321</v>
      </c>
      <c r="F57" s="1" t="s">
        <v>18</v>
      </c>
      <c r="G57" s="1"/>
      <c r="H57" s="1">
        <v>2019.0</v>
      </c>
      <c r="I57" s="1" t="s">
        <v>924</v>
      </c>
      <c r="J57" s="1" t="s">
        <v>3333</v>
      </c>
      <c r="K57" s="4" t="s">
        <v>3334</v>
      </c>
      <c r="L57" s="1" t="s">
        <v>23</v>
      </c>
    </row>
    <row r="58" hidden="1">
      <c r="A58" s="1">
        <v>10172.0</v>
      </c>
      <c r="B58" s="1" t="s">
        <v>3335</v>
      </c>
      <c r="C58" s="1" t="str">
        <f>IFERROR(__xludf.DUMMYFUNCTION("GOOGLETRANSLATE(B58)"),"National Climate Change Strategy 2050")</f>
        <v>National Climate Change Strategy 2050</v>
      </c>
      <c r="D58" s="1" t="s">
        <v>3320</v>
      </c>
      <c r="E58" s="1" t="s">
        <v>3321</v>
      </c>
      <c r="F58" s="1" t="s">
        <v>144</v>
      </c>
      <c r="G58" s="1"/>
      <c r="H58" s="1">
        <v>2020.0</v>
      </c>
      <c r="I58" s="1" t="s">
        <v>924</v>
      </c>
      <c r="J58" s="1" t="s">
        <v>3336</v>
      </c>
      <c r="K58" s="4" t="s">
        <v>3337</v>
      </c>
      <c r="L58" s="1" t="s">
        <v>326</v>
      </c>
    </row>
    <row r="59" hidden="1">
      <c r="A59" s="1">
        <v>10233.0</v>
      </c>
      <c r="B59" s="1" t="s">
        <v>3338</v>
      </c>
      <c r="C59" s="1" t="str">
        <f>IFERROR(__xludf.DUMMYFUNCTION("GOOGLETRANSLATE(B59)"),"MADES approves the National Forest Strategy for Sustainable Growth")</f>
        <v>MADES approves the National Forest Strategy for Sustainable Growth</v>
      </c>
      <c r="D59" s="1" t="s">
        <v>3339</v>
      </c>
      <c r="E59" s="1" t="s">
        <v>3340</v>
      </c>
      <c r="F59" s="1" t="s">
        <v>144</v>
      </c>
      <c r="G59" s="1"/>
      <c r="H59" s="1">
        <v>2019.0</v>
      </c>
      <c r="I59" s="1" t="s">
        <v>924</v>
      </c>
      <c r="J59" s="1" t="s">
        <v>3341</v>
      </c>
      <c r="K59" s="4" t="s">
        <v>3342</v>
      </c>
      <c r="L59" s="1" t="s">
        <v>326</v>
      </c>
    </row>
    <row r="60" hidden="1">
      <c r="A60" s="1">
        <v>10233.0</v>
      </c>
      <c r="B60" s="1" t="s">
        <v>3343</v>
      </c>
      <c r="C60" s="1" t="str">
        <f>IFERROR(__xludf.DUMMYFUNCTION("GOOGLETRANSLATE(B60)"),"National forest strategy for sustainable growth (ENBCS)")</f>
        <v>National forest strategy for sustainable growth (ENBCS)</v>
      </c>
      <c r="D60" s="1" t="s">
        <v>3339</v>
      </c>
      <c r="E60" s="1" t="s">
        <v>3340</v>
      </c>
      <c r="F60" s="1" t="s">
        <v>144</v>
      </c>
      <c r="G60" s="1"/>
      <c r="H60" s="1">
        <v>2019.0</v>
      </c>
      <c r="I60" s="1" t="s">
        <v>924</v>
      </c>
      <c r="J60" s="1" t="s">
        <v>3344</v>
      </c>
      <c r="K60" s="4" t="s">
        <v>3345</v>
      </c>
      <c r="L60" s="1" t="s">
        <v>23</v>
      </c>
    </row>
    <row r="61" hidden="1">
      <c r="A61" s="1">
        <v>1541.0</v>
      </c>
      <c r="B61" s="1" t="s">
        <v>3346</v>
      </c>
      <c r="C61" s="1" t="str">
        <f>IFERROR(__xludf.DUMMYFUNCTION("GOOGLETRANSLATE(B61)"),"Biofuel Market Promotion Law")</f>
        <v>Biofuel Market Promotion Law</v>
      </c>
      <c r="D61" s="1" t="s">
        <v>3347</v>
      </c>
      <c r="E61" s="1" t="s">
        <v>3348</v>
      </c>
      <c r="F61" s="1" t="s">
        <v>41</v>
      </c>
      <c r="G61" s="1"/>
      <c r="H61" s="1">
        <v>2003.0</v>
      </c>
      <c r="I61" s="1" t="s">
        <v>924</v>
      </c>
      <c r="J61" s="1" t="s">
        <v>3349</v>
      </c>
      <c r="K61" s="4" t="s">
        <v>3350</v>
      </c>
      <c r="L61" s="1" t="s">
        <v>23</v>
      </c>
    </row>
    <row r="62" hidden="1">
      <c r="A62" s="1">
        <v>1541.0</v>
      </c>
      <c r="B62" s="1" t="s">
        <v>3351</v>
      </c>
      <c r="C62" s="1" t="str">
        <f>IFERROR(__xludf.DUMMYFUNCTION("GOOGLETRANSLATE(B62)"),"Supreme Decree No. 013-2005-EM: Biofuel Market Promotion Law")</f>
        <v>Supreme Decree No. 013-2005-EM: Biofuel Market Promotion Law</v>
      </c>
      <c r="D62" s="1" t="s">
        <v>3347</v>
      </c>
      <c r="E62" s="1" t="s">
        <v>3348</v>
      </c>
      <c r="F62" s="1" t="s">
        <v>18</v>
      </c>
      <c r="G62" s="1"/>
      <c r="H62" s="1">
        <v>2007.0</v>
      </c>
      <c r="I62" s="1" t="s">
        <v>924</v>
      </c>
      <c r="J62" s="1" t="s">
        <v>3352</v>
      </c>
      <c r="K62" s="4" t="s">
        <v>3353</v>
      </c>
      <c r="L62" s="1" t="s">
        <v>23</v>
      </c>
    </row>
    <row r="63">
      <c r="A63" s="1">
        <v>1543.0</v>
      </c>
      <c r="B63" s="1" t="s">
        <v>3354</v>
      </c>
      <c r="C63" s="1" t="str">
        <f>IFERROR(__xludf.DUMMYFUNCTION("GOOGLETRANSLATE(B63)"),"Approves Law for the Promotion of Efficient Energy Use")</f>
        <v>Approves Law for the Promotion of Efficient Energy Use</v>
      </c>
      <c r="D63" s="1" t="s">
        <v>3347</v>
      </c>
      <c r="E63" s="1" t="s">
        <v>3348</v>
      </c>
      <c r="F63" s="9" t="s">
        <v>41</v>
      </c>
      <c r="G63" s="1"/>
      <c r="H63" s="1">
        <v>2000.0</v>
      </c>
      <c r="I63" s="1" t="s">
        <v>924</v>
      </c>
      <c r="J63" s="1" t="s">
        <v>3355</v>
      </c>
      <c r="K63" s="4" t="s">
        <v>3356</v>
      </c>
      <c r="L63" s="1" t="s">
        <v>23</v>
      </c>
    </row>
    <row r="64" hidden="1">
      <c r="A64" s="1">
        <v>1543.0</v>
      </c>
      <c r="B64" s="1" t="s">
        <v>3357</v>
      </c>
      <c r="C64" s="1" t="str">
        <f>IFERROR(__xludf.DUMMYFUNCTION("GOOGLETRANSLATE(B64)"),"Supreme Decree No. 053-2007-EM: Approve Regulation of the Law for the Promotion of Efficient Energy Use")</f>
        <v>Supreme Decree No. 053-2007-EM: Approve Regulation of the Law for the Promotion of Efficient Energy Use</v>
      </c>
      <c r="D64" s="1" t="s">
        <v>3347</v>
      </c>
      <c r="E64" s="1" t="s">
        <v>3348</v>
      </c>
      <c r="F64" s="1" t="s">
        <v>18</v>
      </c>
      <c r="G64" s="1"/>
      <c r="H64" s="1">
        <v>2007.0</v>
      </c>
      <c r="I64" s="1" t="s">
        <v>924</v>
      </c>
      <c r="J64" s="1" t="s">
        <v>3358</v>
      </c>
      <c r="K64" s="4" t="s">
        <v>3359</v>
      </c>
      <c r="L64" s="1" t="s">
        <v>23</v>
      </c>
    </row>
    <row r="65" hidden="1">
      <c r="A65" s="1">
        <v>2054.0</v>
      </c>
      <c r="B65" s="1" t="s">
        <v>3360</v>
      </c>
      <c r="C65" s="1" t="str">
        <f>IFERROR(__xludf.DUMMYFUNCTION("GOOGLETRANSLATE(B65)"),"Supreme Decree No. 011-2015-MINAM: They approve the national strategy against climate change")</f>
        <v>Supreme Decree No. 011-2015-MINAM: They approve the national strategy against climate change</v>
      </c>
      <c r="D65" s="1" t="s">
        <v>3347</v>
      </c>
      <c r="E65" s="1" t="s">
        <v>3348</v>
      </c>
      <c r="F65" s="1" t="s">
        <v>18</v>
      </c>
      <c r="G65" s="1"/>
      <c r="H65" s="1">
        <v>2015.0</v>
      </c>
      <c r="I65" s="1" t="s">
        <v>924</v>
      </c>
      <c r="J65" s="1" t="s">
        <v>3361</v>
      </c>
      <c r="K65" s="4" t="s">
        <v>3362</v>
      </c>
      <c r="L65" s="1" t="s">
        <v>23</v>
      </c>
    </row>
    <row r="66" hidden="1">
      <c r="A66" s="1">
        <v>2054.0</v>
      </c>
      <c r="B66" s="1" t="s">
        <v>3363</v>
      </c>
      <c r="C66" s="1" t="str">
        <f>IFERROR(__xludf.DUMMYFUNCTION("GOOGLETRANSLATE(B66)"),"National Strategy against Climate Change 2015")</f>
        <v>National Strategy against Climate Change 2015</v>
      </c>
      <c r="D66" s="1" t="s">
        <v>3347</v>
      </c>
      <c r="E66" s="1" t="s">
        <v>3348</v>
      </c>
      <c r="F66" s="1" t="s">
        <v>144</v>
      </c>
      <c r="G66" s="1"/>
      <c r="H66" s="1">
        <v>2015.0</v>
      </c>
      <c r="I66" s="1" t="s">
        <v>924</v>
      </c>
      <c r="J66" s="1" t="s">
        <v>3364</v>
      </c>
      <c r="K66" s="4" t="s">
        <v>3365</v>
      </c>
      <c r="L66" s="1" t="s">
        <v>37</v>
      </c>
    </row>
    <row r="67" hidden="1">
      <c r="A67" s="1">
        <v>2054.0</v>
      </c>
      <c r="B67" s="1" t="s">
        <v>3366</v>
      </c>
      <c r="C67" s="1" t="str">
        <f>IFERROR(__xludf.DUMMYFUNCTION("GOOGLETRANSLATE(B67)"),"National strategy against climate change at 2050")</f>
        <v>National strategy against climate change at 2050</v>
      </c>
      <c r="D67" s="1" t="s">
        <v>3347</v>
      </c>
      <c r="E67" s="1" t="s">
        <v>3348</v>
      </c>
      <c r="F67" s="1" t="s">
        <v>144</v>
      </c>
      <c r="G67" s="1"/>
      <c r="H67" s="1">
        <v>2015.0</v>
      </c>
      <c r="I67" s="1" t="s">
        <v>924</v>
      </c>
      <c r="J67" s="1" t="s">
        <v>3367</v>
      </c>
      <c r="K67" s="4" t="s">
        <v>3368</v>
      </c>
      <c r="L67" s="1" t="s">
        <v>92</v>
      </c>
    </row>
    <row r="68" hidden="1">
      <c r="A68" s="1">
        <v>8625.0</v>
      </c>
      <c r="B68" s="1" t="s">
        <v>3369</v>
      </c>
      <c r="C68" s="1" t="str">
        <f>IFERROR(__xludf.DUMMYFUNCTION("GOOGLETRANSLATE(B68)"),"CLIMATE CHANGE FRAMEWORK")</f>
        <v>CLIMATE CHANGE FRAMEWORK</v>
      </c>
      <c r="D68" s="1" t="s">
        <v>3347</v>
      </c>
      <c r="E68" s="1" t="s">
        <v>3348</v>
      </c>
      <c r="F68" s="1" t="s">
        <v>41</v>
      </c>
      <c r="G68" s="1"/>
      <c r="H68" s="1">
        <v>2018.0</v>
      </c>
      <c r="I68" s="1" t="s">
        <v>924</v>
      </c>
      <c r="J68" s="1" t="s">
        <v>3370</v>
      </c>
      <c r="K68" s="4" t="s">
        <v>3371</v>
      </c>
      <c r="L68" s="1" t="s">
        <v>23</v>
      </c>
    </row>
    <row r="69" hidden="1">
      <c r="A69" s="1">
        <v>8625.0</v>
      </c>
      <c r="B69" s="1" t="s">
        <v>3372</v>
      </c>
      <c r="C69" s="1" t="str">
        <f>IFERROR(__xludf.DUMMYFUNCTION("GOOGLETRANSLATE(B69)"),"Supreme Decree that approves the Regulation of Law No. 30754, Climate Change Framework Law")</f>
        <v>Supreme Decree that approves the Regulation of Law No. 30754, Climate Change Framework Law</v>
      </c>
      <c r="D69" s="1" t="s">
        <v>3347</v>
      </c>
      <c r="E69" s="1" t="s">
        <v>3348</v>
      </c>
      <c r="F69" s="1" t="s">
        <v>18</v>
      </c>
      <c r="G69" s="9"/>
      <c r="H69" s="9">
        <v>2020.0</v>
      </c>
      <c r="I69" s="1" t="s">
        <v>924</v>
      </c>
      <c r="J69" s="1" t="s">
        <v>3373</v>
      </c>
      <c r="K69" s="4" t="s">
        <v>3374</v>
      </c>
      <c r="L69" s="1" t="s">
        <v>37</v>
      </c>
    </row>
    <row r="70" hidden="1">
      <c r="A70" s="1">
        <v>8760.0</v>
      </c>
      <c r="B70" s="1" t="s">
        <v>3375</v>
      </c>
      <c r="C70" s="1" t="str">
        <f>IFERROR(__xludf.DUMMYFUNCTION("GOOGLETRANSLATE(B70)"),"Supreme Decree No. 012-2016-MINAM: The Peruvian approves the gender and climate change plan of Peru")</f>
        <v>Supreme Decree No. 012-2016-MINAM: The Peruvian approves the gender and climate change plan of Peru</v>
      </c>
      <c r="D70" s="1" t="s">
        <v>3347</v>
      </c>
      <c r="E70" s="1" t="s">
        <v>3348</v>
      </c>
      <c r="F70" s="1" t="s">
        <v>18</v>
      </c>
      <c r="G70" s="1"/>
      <c r="H70" s="1">
        <v>2016.0</v>
      </c>
      <c r="I70" s="1" t="s">
        <v>924</v>
      </c>
      <c r="J70" s="1" t="s">
        <v>3376</v>
      </c>
      <c r="K70" s="4" t="s">
        <v>3377</v>
      </c>
      <c r="L70" s="1" t="s">
        <v>23</v>
      </c>
    </row>
    <row r="71" hidden="1">
      <c r="A71" s="1">
        <v>8760.0</v>
      </c>
      <c r="B71" s="1" t="s">
        <v>3378</v>
      </c>
      <c r="C71" s="1" t="str">
        <f>IFERROR(__xludf.DUMMYFUNCTION("GOOGLETRANSLATE(B71)"),"Gender Action Plan and Climate Change")</f>
        <v>Gender Action Plan and Climate Change</v>
      </c>
      <c r="D71" s="1" t="s">
        <v>3347</v>
      </c>
      <c r="E71" s="1" t="s">
        <v>3348</v>
      </c>
      <c r="F71" s="1" t="s">
        <v>368</v>
      </c>
      <c r="G71" s="9"/>
      <c r="H71" s="9">
        <v>2016.0</v>
      </c>
      <c r="I71" s="1" t="s">
        <v>924</v>
      </c>
      <c r="J71" s="1" t="s">
        <v>3379</v>
      </c>
      <c r="K71" s="4" t="s">
        <v>3380</v>
      </c>
      <c r="L71" s="1" t="s">
        <v>37</v>
      </c>
    </row>
    <row r="72" hidden="1">
      <c r="A72" s="1">
        <v>10175.0</v>
      </c>
      <c r="B72" s="1" t="s">
        <v>3381</v>
      </c>
      <c r="C72" s="1" t="str">
        <f>IFERROR(__xludf.DUMMYFUNCTION("GOOGLETRANSLATE(B72)"),"National Strategy for Restoration of Ecosystems and Degraded Forest Lands (PROREST) ​​period 2021 - 2030")</f>
        <v>National Strategy for Restoration of Ecosystems and Degraded Forest Lands (PROREST) ​​period 2021 - 2030</v>
      </c>
      <c r="D72" s="1" t="s">
        <v>3347</v>
      </c>
      <c r="E72" s="1" t="s">
        <v>3348</v>
      </c>
      <c r="F72" s="1" t="s">
        <v>144</v>
      </c>
      <c r="G72" s="1"/>
      <c r="H72" s="1">
        <v>2021.0</v>
      </c>
      <c r="I72" s="1" t="s">
        <v>924</v>
      </c>
      <c r="J72" s="1" t="s">
        <v>3382</v>
      </c>
      <c r="K72" s="4" t="s">
        <v>3383</v>
      </c>
      <c r="L72" s="1" t="s">
        <v>23</v>
      </c>
    </row>
    <row r="73">
      <c r="A73" s="9">
        <v>10175.0</v>
      </c>
      <c r="B73" s="9" t="s">
        <v>3384</v>
      </c>
      <c r="C73" s="9" t="str">
        <f>IFERROR(__xludf.DUMMYFUNCTION("GOOGLETRANSLATE(B73)"),"The Memorandum of the General Office of Planning and Budget and the report of the Multiannual Investment Programming Office")</f>
        <v>The Memorandum of the General Office of Planning and Budget and the report of the Multiannual Investment Programming Office</v>
      </c>
      <c r="D73" s="9" t="s">
        <v>3347</v>
      </c>
      <c r="E73" s="9" t="s">
        <v>3348</v>
      </c>
      <c r="F73" s="9" t="s">
        <v>1532</v>
      </c>
      <c r="G73" s="9"/>
      <c r="H73" s="9">
        <v>2020.0</v>
      </c>
      <c r="I73" s="9" t="s">
        <v>924</v>
      </c>
      <c r="J73" s="9" t="s">
        <v>3385</v>
      </c>
      <c r="K73" s="24" t="s">
        <v>3386</v>
      </c>
      <c r="L73" s="9" t="s">
        <v>37</v>
      </c>
      <c r="M73" s="3"/>
      <c r="N73" s="3"/>
      <c r="O73" s="3"/>
      <c r="P73" s="3"/>
      <c r="Q73" s="3"/>
      <c r="R73" s="3"/>
      <c r="S73" s="3"/>
    </row>
    <row r="74" hidden="1">
      <c r="A74" s="1">
        <v>1552.0</v>
      </c>
      <c r="B74" s="1" t="s">
        <v>3387</v>
      </c>
      <c r="C74" s="1" t="str">
        <f>IFERROR(__xludf.DUMMYFUNCTION("GOOGLETRANSLATE(B74)"),"An Act Establishing the People's Survival Fund to Provide Long-Term Finance Streams to Enable the Government to Effectively Address the Problem of Climate Change (Climate Change Act 2009 Amendment)")</f>
        <v>An Act Establishing the People's Survival Fund to Provide Long-Term Finance Streams to Enable the Government to Effectively Address the Problem of Climate Change (Climate Change Act 2009 Amendment)</v>
      </c>
      <c r="D74" s="1" t="s">
        <v>3388</v>
      </c>
      <c r="E74" s="1" t="s">
        <v>3389</v>
      </c>
      <c r="F74" s="1" t="s">
        <v>45</v>
      </c>
      <c r="G74" s="1"/>
      <c r="H74" s="1">
        <v>2011.0</v>
      </c>
      <c r="I74" s="1" t="s">
        <v>24</v>
      </c>
      <c r="J74" s="1" t="s">
        <v>3390</v>
      </c>
      <c r="K74" s="4" t="s">
        <v>3391</v>
      </c>
      <c r="L74" s="1" t="s">
        <v>37</v>
      </c>
    </row>
    <row r="75" hidden="1">
      <c r="A75" s="1">
        <v>1552.0</v>
      </c>
      <c r="B75" s="1" t="s">
        <v>3392</v>
      </c>
      <c r="C75" s="1" t="str">
        <f>IFERROR(__xludf.DUMMYFUNCTION("GOOGLETRANSLATE(B75)"),"Administrative Order Implementing the Climate Change Act 2009")</f>
        <v>Administrative Order Implementing the Climate Change Act 2009</v>
      </c>
      <c r="D75" s="1" t="s">
        <v>3388</v>
      </c>
      <c r="E75" s="1" t="s">
        <v>3389</v>
      </c>
      <c r="F75" s="1" t="s">
        <v>1340</v>
      </c>
      <c r="G75" s="1"/>
      <c r="H75" s="1">
        <v>2010.0</v>
      </c>
      <c r="I75" s="1" t="s">
        <v>24</v>
      </c>
      <c r="J75" s="1" t="s">
        <v>3393</v>
      </c>
      <c r="K75" s="4" t="s">
        <v>3394</v>
      </c>
      <c r="L75" s="1" t="s">
        <v>37</v>
      </c>
    </row>
    <row r="76" hidden="1">
      <c r="A76" s="1">
        <v>1553.0</v>
      </c>
      <c r="B76" s="1" t="s">
        <v>3395</v>
      </c>
      <c r="C76" s="1" t="str">
        <f>IFERROR(__xludf.DUMMYFUNCTION("GOOGLETRANSLATE(B76)"),"Renewable Energy Act 2008")</f>
        <v>Renewable Energy Act 2008</v>
      </c>
      <c r="D76" s="1" t="s">
        <v>3388</v>
      </c>
      <c r="E76" s="1" t="s">
        <v>3389</v>
      </c>
      <c r="F76" s="1" t="s">
        <v>45</v>
      </c>
      <c r="G76" s="1"/>
      <c r="H76" s="1">
        <v>2008.0</v>
      </c>
      <c r="I76" s="1" t="s">
        <v>24</v>
      </c>
      <c r="J76" s="1" t="s">
        <v>3396</v>
      </c>
      <c r="K76" s="4" t="s">
        <v>3397</v>
      </c>
      <c r="L76" s="1" t="s">
        <v>37</v>
      </c>
    </row>
    <row r="77" hidden="1">
      <c r="A77" s="1">
        <v>1553.0</v>
      </c>
      <c r="B77" s="1" t="s">
        <v>3398</v>
      </c>
      <c r="C77" s="1" t="str">
        <f>IFERROR(__xludf.DUMMYFUNCTION("GOOGLETRANSLATE(B77)"),"Guidelines for the Policy of Maintaining the Share of Renewable Energy in the Country")</f>
        <v>Guidelines for the Policy of Maintaining the Share of Renewable Energy in the Country</v>
      </c>
      <c r="D77" s="1" t="s">
        <v>3388</v>
      </c>
      <c r="E77" s="1" t="s">
        <v>3389</v>
      </c>
      <c r="F77" s="1" t="s">
        <v>45</v>
      </c>
      <c r="G77" s="1"/>
      <c r="H77" s="1">
        <v>2015.0</v>
      </c>
      <c r="I77" s="1" t="s">
        <v>24</v>
      </c>
      <c r="J77" s="1" t="s">
        <v>3399</v>
      </c>
      <c r="K77" s="4" t="s">
        <v>3400</v>
      </c>
      <c r="L77" s="1" t="s">
        <v>37</v>
      </c>
    </row>
    <row r="78" hidden="1">
      <c r="A78" s="1">
        <v>1554.0</v>
      </c>
      <c r="B78" s="1" t="s">
        <v>3401</v>
      </c>
      <c r="C78" s="1" t="str">
        <f>IFERROR(__xludf.DUMMYFUNCTION("GOOGLETRANSLATE(B78)"),"Biofuels Act 2006")</f>
        <v>Biofuels Act 2006</v>
      </c>
      <c r="D78" s="1" t="s">
        <v>3388</v>
      </c>
      <c r="E78" s="1" t="s">
        <v>3389</v>
      </c>
      <c r="F78" s="1" t="s">
        <v>45</v>
      </c>
      <c r="G78" s="1"/>
      <c r="H78" s="1">
        <v>2006.0</v>
      </c>
      <c r="I78" s="1" t="s">
        <v>24</v>
      </c>
      <c r="J78" s="1" t="s">
        <v>3402</v>
      </c>
      <c r="K78" s="4" t="s">
        <v>3403</v>
      </c>
      <c r="L78" s="1" t="s">
        <v>37</v>
      </c>
    </row>
    <row r="79" hidden="1">
      <c r="A79" s="1">
        <v>1554.0</v>
      </c>
      <c r="B79" s="1" t="s">
        <v>3404</v>
      </c>
      <c r="C79" s="1" t="str">
        <f>IFERROR(__xludf.DUMMYFUNCTION("GOOGLETRANSLATE(B79)"),"Amendment to Biofuels Act 2006")</f>
        <v>Amendment to Biofuels Act 2006</v>
      </c>
      <c r="D79" s="1" t="s">
        <v>3388</v>
      </c>
      <c r="E79" s="1" t="s">
        <v>3389</v>
      </c>
      <c r="F79" s="1" t="s">
        <v>45</v>
      </c>
      <c r="G79" s="1"/>
      <c r="H79" s="1">
        <v>2015.0</v>
      </c>
      <c r="I79" s="1" t="s">
        <v>24</v>
      </c>
      <c r="J79" s="1" t="s">
        <v>3405</v>
      </c>
      <c r="K79" s="4" t="s">
        <v>3406</v>
      </c>
      <c r="L79" s="1" t="s">
        <v>48</v>
      </c>
    </row>
    <row r="80">
      <c r="A80" s="1">
        <v>1554.0</v>
      </c>
      <c r="B80" s="1" t="s">
        <v>3407</v>
      </c>
      <c r="C80" s="1" t="str">
        <f>IFERROR(__xludf.DUMMYFUNCTION("GOOGLETRANSLATE(B80)"),"Rules and Regulations Implementing Biofuels Act 2016")</f>
        <v>Rules and Regulations Implementing Biofuels Act 2016</v>
      </c>
      <c r="D80" s="1" t="s">
        <v>3388</v>
      </c>
      <c r="E80" s="1" t="s">
        <v>3389</v>
      </c>
      <c r="F80" s="9" t="s">
        <v>34</v>
      </c>
      <c r="G80" s="1"/>
      <c r="H80" s="1">
        <v>2007.0</v>
      </c>
      <c r="I80" s="1" t="s">
        <v>24</v>
      </c>
      <c r="J80" s="1" t="s">
        <v>3408</v>
      </c>
      <c r="K80" s="4" t="s">
        <v>3409</v>
      </c>
      <c r="L80" s="1" t="s">
        <v>37</v>
      </c>
    </row>
    <row r="81">
      <c r="A81" s="1">
        <v>1554.0</v>
      </c>
      <c r="B81" s="1" t="s">
        <v>3410</v>
      </c>
      <c r="C81" s="1" t="str">
        <f>IFERROR(__xludf.DUMMYFUNCTION("GOOGLETRANSLATE(B81)"),"Mandatory Use of Biofuel Blend")</f>
        <v>Mandatory Use of Biofuel Blend</v>
      </c>
      <c r="D81" s="1" t="s">
        <v>3388</v>
      </c>
      <c r="E81" s="1" t="s">
        <v>3389</v>
      </c>
      <c r="F81" s="9" t="s">
        <v>34</v>
      </c>
      <c r="G81" s="1"/>
      <c r="H81" s="1">
        <v>2011.0</v>
      </c>
      <c r="I81" s="1" t="s">
        <v>24</v>
      </c>
      <c r="J81" s="1" t="s">
        <v>3411</v>
      </c>
      <c r="K81" s="4" t="s">
        <v>3412</v>
      </c>
      <c r="L81" s="1" t="s">
        <v>23</v>
      </c>
    </row>
    <row r="82" hidden="1">
      <c r="A82" s="1">
        <v>1554.0</v>
      </c>
      <c r="B82" s="1" t="s">
        <v>3413</v>
      </c>
      <c r="C82" s="1" t="str">
        <f>IFERROR(__xludf.DUMMYFUNCTION("GOOGLETRANSLATE(B82)"),"Amended Biofuelds Act 2006")</f>
        <v>Amended Biofuelds Act 2006</v>
      </c>
      <c r="D82" s="1" t="s">
        <v>3388</v>
      </c>
      <c r="E82" s="1" t="s">
        <v>3389</v>
      </c>
      <c r="F82" s="1" t="s">
        <v>45</v>
      </c>
      <c r="G82" s="1"/>
      <c r="H82" s="1">
        <v>2016.0</v>
      </c>
      <c r="I82" s="1" t="s">
        <v>24</v>
      </c>
      <c r="J82" s="1" t="s">
        <v>3414</v>
      </c>
      <c r="K82" s="4" t="s">
        <v>3415</v>
      </c>
      <c r="L82" s="1" t="s">
        <v>37</v>
      </c>
    </row>
    <row r="83" hidden="1">
      <c r="A83" s="1">
        <v>9640.0</v>
      </c>
      <c r="B83" s="1" t="s">
        <v>3416</v>
      </c>
      <c r="C83" s="1" t="str">
        <f>IFERROR(__xludf.DUMMYFUNCTION("GOOGLETRANSLATE(B83)"),"Executive Order No.785: Mandating the Presidential Task Force on Climate Change to Develop the National Climate Change Framework")</f>
        <v>Executive Order No.785: Mandating the Presidential Task Force on Climate Change to Develop the National Climate Change Framework</v>
      </c>
      <c r="D83" s="1" t="s">
        <v>3388</v>
      </c>
      <c r="E83" s="1" t="s">
        <v>3389</v>
      </c>
      <c r="F83" s="1" t="s">
        <v>1340</v>
      </c>
      <c r="G83" s="1"/>
      <c r="H83" s="1">
        <v>2009.0</v>
      </c>
      <c r="I83" s="1" t="s">
        <v>24</v>
      </c>
      <c r="J83" s="1" t="s">
        <v>3417</v>
      </c>
      <c r="K83" s="4" t="s">
        <v>3418</v>
      </c>
      <c r="L83" s="1" t="s">
        <v>37</v>
      </c>
    </row>
    <row r="84" hidden="1">
      <c r="A84" s="1">
        <v>9640.0</v>
      </c>
      <c r="B84" s="1" t="s">
        <v>3419</v>
      </c>
      <c r="C84" s="1" t="str">
        <f>IFERROR(__xludf.DUMMYFUNCTION("GOOGLETRANSLATE(B84)"),"Executive Order No.774: REORGANIZING THE PRESIDENTIAL TASK FORCE ON CLIMATE CHANGE")</f>
        <v>Executive Order No.774: REORGANIZING THE PRESIDENTIAL TASK FORCE ON CLIMATE CHANGE</v>
      </c>
      <c r="D84" s="1" t="s">
        <v>3388</v>
      </c>
      <c r="E84" s="1" t="s">
        <v>3389</v>
      </c>
      <c r="F84" s="1" t="s">
        <v>1340</v>
      </c>
      <c r="G84" s="1"/>
      <c r="H84" s="1">
        <v>2008.0</v>
      </c>
      <c r="I84" s="1" t="s">
        <v>24</v>
      </c>
      <c r="J84" s="1" t="s">
        <v>3420</v>
      </c>
      <c r="K84" s="4" t="s">
        <v>3421</v>
      </c>
      <c r="L84" s="1" t="s">
        <v>275</v>
      </c>
    </row>
    <row r="85" hidden="1">
      <c r="A85" s="1">
        <v>9645.0</v>
      </c>
      <c r="B85" s="1" t="s">
        <v>3422</v>
      </c>
      <c r="C85" s="1" t="str">
        <f>IFERROR(__xludf.DUMMYFUNCTION("GOOGLETRANSLATE(B85)"),"Philippine Energy Plan 2016-2030")</f>
        <v>Philippine Energy Plan 2016-2030</v>
      </c>
      <c r="D85" s="1" t="s">
        <v>3388</v>
      </c>
      <c r="E85" s="1" t="s">
        <v>3389</v>
      </c>
      <c r="F85" s="1" t="s">
        <v>234</v>
      </c>
      <c r="G85" s="1"/>
      <c r="H85" s="1">
        <v>2016.0</v>
      </c>
      <c r="I85" s="1" t="s">
        <v>24</v>
      </c>
      <c r="J85" s="1" t="s">
        <v>3423</v>
      </c>
      <c r="K85" s="4" t="s">
        <v>3424</v>
      </c>
      <c r="L85" s="1" t="s">
        <v>37</v>
      </c>
    </row>
    <row r="86" hidden="1">
      <c r="A86" s="1">
        <v>9645.0</v>
      </c>
      <c r="B86" s="1" t="s">
        <v>3425</v>
      </c>
      <c r="C86" s="1" t="str">
        <f>IFERROR(__xludf.DUMMYFUNCTION("GOOGLETRANSLATE(B86)"),"Philippine Energy Plan 2018-2040")</f>
        <v>Philippine Energy Plan 2018-2040</v>
      </c>
      <c r="D86" s="1" t="s">
        <v>3388</v>
      </c>
      <c r="E86" s="1" t="s">
        <v>3389</v>
      </c>
      <c r="F86" s="1" t="s">
        <v>234</v>
      </c>
      <c r="G86" s="1"/>
      <c r="H86" s="1">
        <v>2018.0</v>
      </c>
      <c r="I86" s="1" t="s">
        <v>24</v>
      </c>
      <c r="J86" s="1" t="s">
        <v>3426</v>
      </c>
      <c r="K86" s="4" t="s">
        <v>3427</v>
      </c>
      <c r="L86" s="1" t="s">
        <v>37</v>
      </c>
    </row>
    <row r="87">
      <c r="A87" s="1">
        <v>10165.0</v>
      </c>
      <c r="B87" s="1" t="s">
        <v>3428</v>
      </c>
      <c r="C87" s="1" t="str">
        <f>IFERROR(__xludf.DUMMYFUNCTION("GOOGLETRANSLATE(B87)"),"DOE SEC. CUSI DECLARES MORATORIUM ON ENDORSEMENTS FOR GREENFIELD COAL POWER PLANTS")</f>
        <v>DOE SEC. CUSI DECLARES MORATORIUM ON ENDORSEMENTS FOR GREENFIELD COAL POWER PLANTS</v>
      </c>
      <c r="D87" s="1" t="s">
        <v>3388</v>
      </c>
      <c r="E87" s="1" t="s">
        <v>3389</v>
      </c>
      <c r="F87" s="9" t="s">
        <v>295</v>
      </c>
      <c r="G87" s="1"/>
      <c r="H87" s="1">
        <v>2020.0</v>
      </c>
      <c r="I87" s="1" t="s">
        <v>24</v>
      </c>
      <c r="J87" s="4" t="s">
        <v>3429</v>
      </c>
      <c r="K87" s="4" t="s">
        <v>3430</v>
      </c>
      <c r="L87" s="1" t="s">
        <v>37</v>
      </c>
    </row>
    <row r="88">
      <c r="A88" s="1">
        <v>10165.0</v>
      </c>
      <c r="B88" s="1" t="s">
        <v>3431</v>
      </c>
      <c r="C88" s="1" t="str">
        <f>IFERROR(__xludf.DUMMYFUNCTION("GOOGLETRANSLATE(B88)"),"Advisory on the Moratorium of Endorsements for Greenfield Coal-Fired Power Projects In Line with Improving the Sustainability of the Philippines' Electric Power Industry")</f>
        <v>Advisory on the Moratorium of Endorsements for Greenfield Coal-Fired Power Projects In Line with Improving the Sustainability of the Philippines' Electric Power Industry</v>
      </c>
      <c r="D88" s="1" t="s">
        <v>3388</v>
      </c>
      <c r="E88" s="1" t="s">
        <v>3389</v>
      </c>
      <c r="F88" s="9" t="s">
        <v>295</v>
      </c>
      <c r="G88" s="1"/>
      <c r="H88" s="1">
        <v>2020.0</v>
      </c>
      <c r="I88" s="1" t="s">
        <v>24</v>
      </c>
      <c r="J88" s="4" t="s">
        <v>3432</v>
      </c>
      <c r="K88" s="4" t="s">
        <v>3433</v>
      </c>
      <c r="L88" s="1" t="s">
        <v>37</v>
      </c>
    </row>
    <row r="89" hidden="1">
      <c r="A89" s="1">
        <v>10183.0</v>
      </c>
      <c r="B89" s="1" t="s">
        <v>3434</v>
      </c>
      <c r="C89" s="1" t="str">
        <f>IFERROR(__xludf.DUMMYFUNCTION("GOOGLETRANSLATE(B89)"),"National Security Policy 2017-2022")</f>
        <v>National Security Policy 2017-2022</v>
      </c>
      <c r="D89" s="1" t="s">
        <v>3388</v>
      </c>
      <c r="E89" s="1" t="s">
        <v>3389</v>
      </c>
      <c r="F89" s="1" t="s">
        <v>407</v>
      </c>
      <c r="G89" s="1"/>
      <c r="H89" s="1">
        <v>2017.0</v>
      </c>
      <c r="I89" s="1" t="s">
        <v>24</v>
      </c>
      <c r="J89" s="1" t="s">
        <v>3435</v>
      </c>
      <c r="K89" s="4" t="s">
        <v>3436</v>
      </c>
      <c r="L89" s="1" t="s">
        <v>275</v>
      </c>
    </row>
    <row r="90" hidden="1">
      <c r="A90" s="1">
        <v>10183.0</v>
      </c>
      <c r="B90" s="1" t="s">
        <v>3437</v>
      </c>
      <c r="C90" s="1" t="str">
        <f>IFERROR(__xludf.DUMMYFUNCTION("GOOGLETRANSLATE(B90)"),"National Security Strategy")</f>
        <v>National Security Strategy</v>
      </c>
      <c r="D90" s="1" t="s">
        <v>3388</v>
      </c>
      <c r="E90" s="1" t="s">
        <v>3389</v>
      </c>
      <c r="F90" s="1" t="s">
        <v>144</v>
      </c>
      <c r="G90" s="1"/>
      <c r="H90" s="1">
        <v>2018.0</v>
      </c>
      <c r="I90" s="1" t="s">
        <v>24</v>
      </c>
      <c r="J90" s="1" t="s">
        <v>3438</v>
      </c>
      <c r="K90" s="4" t="s">
        <v>3439</v>
      </c>
      <c r="L90" s="1" t="s">
        <v>23</v>
      </c>
    </row>
    <row r="91" hidden="1">
      <c r="A91" s="1">
        <v>1560.0</v>
      </c>
      <c r="B91" s="1" t="s">
        <v>3440</v>
      </c>
      <c r="C91" s="1" t="str">
        <f>IFERROR(__xludf.DUMMYFUNCTION("GOOGLETRANSLATE(B91)"),"Strategic adaptation plan for sectors and areas sensitive to climate change until 2020")</f>
        <v>Strategic adaptation plan for sectors and areas sensitive to climate change until 2020</v>
      </c>
      <c r="D91" s="1" t="s">
        <v>2561</v>
      </c>
      <c r="E91" s="1" t="s">
        <v>2562</v>
      </c>
      <c r="F91" s="1" t="s">
        <v>234</v>
      </c>
      <c r="G91" s="1"/>
      <c r="H91" s="1">
        <v>2013.0</v>
      </c>
      <c r="I91" s="1" t="s">
        <v>2563</v>
      </c>
      <c r="J91" s="1" t="s">
        <v>3441</v>
      </c>
      <c r="K91" s="4" t="s">
        <v>3442</v>
      </c>
      <c r="L91" s="1" t="s">
        <v>23</v>
      </c>
    </row>
    <row r="92" hidden="1">
      <c r="A92" s="1">
        <v>1560.0</v>
      </c>
      <c r="B92" s="1" t="s">
        <v>3443</v>
      </c>
      <c r="C92" s="1" t="str">
        <f>IFERROR(__xludf.DUMMYFUNCTION("GOOGLETRANSLATE(B92)"),"Polish National Strategy for Adaptation to Climate Change (NAS 2020)")</f>
        <v>Polish National Strategy for Adaptation to Climate Change (NAS 2020)</v>
      </c>
      <c r="D92" s="1" t="s">
        <v>2561</v>
      </c>
      <c r="E92" s="1" t="s">
        <v>2562</v>
      </c>
      <c r="F92" s="1" t="s">
        <v>234</v>
      </c>
      <c r="G92" s="1"/>
      <c r="H92" s="1">
        <v>2013.0</v>
      </c>
      <c r="I92" s="1" t="s">
        <v>24</v>
      </c>
      <c r="J92" s="1" t="s">
        <v>3444</v>
      </c>
      <c r="K92" s="4" t="s">
        <v>3445</v>
      </c>
      <c r="L92" s="1" t="s">
        <v>23</v>
      </c>
    </row>
    <row r="93" hidden="1">
      <c r="A93" s="1">
        <v>1564.0</v>
      </c>
      <c r="B93" s="1" t="s">
        <v>3446</v>
      </c>
      <c r="C93" s="1" t="str">
        <f>IFERROR(__xludf.DUMMYFUNCTION("GOOGLETRANSLATE(B93)"),"Energy Policy of Poland until 2030")</f>
        <v>Energy Policy of Poland until 2030</v>
      </c>
      <c r="D93" s="1" t="s">
        <v>2561</v>
      </c>
      <c r="E93" s="1" t="s">
        <v>2562</v>
      </c>
      <c r="F93" s="1" t="s">
        <v>407</v>
      </c>
      <c r="G93" s="1"/>
      <c r="H93" s="1">
        <v>2009.0</v>
      </c>
      <c r="I93" s="1" t="s">
        <v>24</v>
      </c>
      <c r="J93" s="1" t="s">
        <v>3447</v>
      </c>
      <c r="K93" s="4" t="s">
        <v>3448</v>
      </c>
      <c r="L93" s="1" t="s">
        <v>23</v>
      </c>
    </row>
    <row r="94" hidden="1">
      <c r="A94" s="1">
        <v>1564.0</v>
      </c>
      <c r="B94" s="1" t="s">
        <v>3449</v>
      </c>
      <c r="C94" s="1" t="str">
        <f>IFERROR(__xludf.DUMMYFUNCTION("GOOGLETRANSLATE(B94)"),"Poland's energy policy until 2030")</f>
        <v>Poland's energy policy until 2030</v>
      </c>
      <c r="D94" s="1" t="s">
        <v>2561</v>
      </c>
      <c r="E94" s="1" t="s">
        <v>2562</v>
      </c>
      <c r="F94" s="1" t="s">
        <v>407</v>
      </c>
      <c r="G94" s="1"/>
      <c r="H94" s="1">
        <v>2009.0</v>
      </c>
      <c r="I94" s="1" t="s">
        <v>2563</v>
      </c>
      <c r="J94" s="1" t="s">
        <v>3450</v>
      </c>
      <c r="K94" s="4" t="s">
        <v>3451</v>
      </c>
      <c r="L94" s="1" t="s">
        <v>23</v>
      </c>
    </row>
    <row r="95" hidden="1">
      <c r="A95" s="1">
        <v>1564.0</v>
      </c>
      <c r="B95" s="1" t="s">
        <v>3452</v>
      </c>
      <c r="C95" s="1" t="str">
        <f>IFERROR(__xludf.DUMMYFUNCTION("GOOGLETRANSLATE(B95)"),"ENERGY POLICY OF POLAND UNTIL 2040 (draft)")</f>
        <v>ENERGY POLICY OF POLAND UNTIL 2040 (draft)</v>
      </c>
      <c r="D95" s="1" t="s">
        <v>2561</v>
      </c>
      <c r="E95" s="1" t="s">
        <v>2562</v>
      </c>
      <c r="F95" s="1" t="s">
        <v>407</v>
      </c>
      <c r="G95" s="1"/>
      <c r="H95" s="1">
        <v>2018.0</v>
      </c>
      <c r="I95" s="1" t="s">
        <v>24</v>
      </c>
      <c r="J95" s="1" t="s">
        <v>3453</v>
      </c>
      <c r="K95" s="4" t="s">
        <v>3454</v>
      </c>
      <c r="L95" s="1" t="s">
        <v>23</v>
      </c>
    </row>
    <row r="96" hidden="1">
      <c r="A96" s="1">
        <v>2005.0</v>
      </c>
      <c r="B96" s="166" t="s">
        <v>3455</v>
      </c>
      <c r="C96" s="1" t="str">
        <f>IFERROR(__xludf.DUMMYFUNCTION("GOOGLETRANSLATE(B96)"),"Energy law")</f>
        <v>Energy law</v>
      </c>
      <c r="D96" s="1" t="s">
        <v>2561</v>
      </c>
      <c r="E96" s="1" t="s">
        <v>2562</v>
      </c>
      <c r="F96" s="1" t="s">
        <v>41</v>
      </c>
      <c r="G96" s="1"/>
      <c r="H96" s="1">
        <v>1997.0</v>
      </c>
      <c r="I96" s="1" t="s">
        <v>2563</v>
      </c>
      <c r="J96" s="1" t="s">
        <v>3456</v>
      </c>
      <c r="K96" s="4" t="s">
        <v>3457</v>
      </c>
      <c r="L96" s="1" t="s">
        <v>23</v>
      </c>
    </row>
    <row r="97" hidden="1">
      <c r="A97" s="1">
        <v>2005.0</v>
      </c>
      <c r="B97" s="1" t="s">
        <v>3458</v>
      </c>
      <c r="C97" s="1" t="str">
        <f>IFERROR(__xludf.DUMMYFUNCTION("GOOGLETRANSLATE(B97)"),"Energy Law")</f>
        <v>Energy Law</v>
      </c>
      <c r="D97" s="1" t="s">
        <v>2561</v>
      </c>
      <c r="E97" s="1" t="s">
        <v>2562</v>
      </c>
      <c r="F97" s="1" t="s">
        <v>41</v>
      </c>
      <c r="G97" s="1"/>
      <c r="H97" s="1">
        <v>1997.0</v>
      </c>
      <c r="I97" s="1" t="s">
        <v>24</v>
      </c>
      <c r="J97" s="1" t="s">
        <v>3459</v>
      </c>
      <c r="K97" s="4" t="s">
        <v>3460</v>
      </c>
      <c r="L97" s="1" t="s">
        <v>23</v>
      </c>
    </row>
    <row r="98" hidden="1">
      <c r="A98" s="1">
        <v>2009.0</v>
      </c>
      <c r="B98" s="1" t="s">
        <v>3461</v>
      </c>
      <c r="C98" s="1" t="str">
        <f>IFERROR(__xludf.DUMMYFUNCTION("GOOGLETRANSLATE(B98)"),"Act on Biocomponents and Liquid Biofules")</f>
        <v>Act on Biocomponents and Liquid Biofules</v>
      </c>
      <c r="D98" s="1" t="s">
        <v>2561</v>
      </c>
      <c r="E98" s="1" t="s">
        <v>2562</v>
      </c>
      <c r="F98" s="1" t="s">
        <v>45</v>
      </c>
      <c r="G98" s="1"/>
      <c r="H98" s="1">
        <v>2006.0</v>
      </c>
      <c r="I98" s="1" t="s">
        <v>2563</v>
      </c>
      <c r="J98" s="1" t="s">
        <v>3462</v>
      </c>
      <c r="K98" s="4" t="s">
        <v>3463</v>
      </c>
      <c r="L98" s="1" t="s">
        <v>23</v>
      </c>
    </row>
    <row r="99" hidden="1">
      <c r="A99" s="1">
        <v>2009.0</v>
      </c>
      <c r="B99" s="1" t="s">
        <v>3464</v>
      </c>
      <c r="C99" s="1" t="str">
        <f>IFERROR(__xludf.DUMMYFUNCTION("GOOGLETRANSLATE(B99)"),"Act of June 6, 2018 amending the Act on biocomponents and liquid biofuels and some other acts")</f>
        <v>Act of June 6, 2018 amending the Act on biocomponents and liquid biofuels and some other acts</v>
      </c>
      <c r="D99" s="1" t="s">
        <v>2561</v>
      </c>
      <c r="E99" s="1" t="s">
        <v>2562</v>
      </c>
      <c r="F99" s="1" t="s">
        <v>45</v>
      </c>
      <c r="G99" s="1"/>
      <c r="H99" s="1">
        <v>2018.0</v>
      </c>
      <c r="I99" s="1" t="s">
        <v>2563</v>
      </c>
      <c r="J99" s="4" t="s">
        <v>3465</v>
      </c>
      <c r="K99" s="4" t="s">
        <v>3466</v>
      </c>
      <c r="L99" s="1" t="s">
        <v>229</v>
      </c>
    </row>
    <row r="100" hidden="1">
      <c r="A100" s="1">
        <v>2010.0</v>
      </c>
      <c r="B100" s="1" t="s">
        <v>3467</v>
      </c>
      <c r="C100" s="1" t="str">
        <f>IFERROR(__xludf.DUMMYFUNCTION("GOOGLETRANSLATE(B100)"),"Act on renewable energy sources")</f>
        <v>Act on renewable energy sources</v>
      </c>
      <c r="D100" s="1" t="s">
        <v>2561</v>
      </c>
      <c r="E100" s="1" t="s">
        <v>2562</v>
      </c>
      <c r="F100" s="1" t="s">
        <v>45</v>
      </c>
      <c r="G100" s="1"/>
      <c r="H100" s="1">
        <v>2015.0</v>
      </c>
      <c r="I100" s="1" t="s">
        <v>2563</v>
      </c>
      <c r="J100" s="1" t="s">
        <v>3468</v>
      </c>
      <c r="K100" s="4" t="s">
        <v>3469</v>
      </c>
      <c r="L100" s="1" t="s">
        <v>23</v>
      </c>
    </row>
    <row r="101" hidden="1">
      <c r="A101" s="1">
        <v>2010.0</v>
      </c>
      <c r="B101" s="1" t="s">
        <v>3470</v>
      </c>
      <c r="C101" s="1" t="str">
        <f>IFERROR(__xludf.DUMMYFUNCTION("GOOGLETRANSLATE(B101)"),"Government draft act amending the Act on renewable energy sources and some other acts")</f>
        <v>Government draft act amending the Act on renewable energy sources and some other acts</v>
      </c>
      <c r="D101" s="1" t="s">
        <v>2561</v>
      </c>
      <c r="E101" s="1" t="s">
        <v>2562</v>
      </c>
      <c r="F101" s="9" t="s">
        <v>45</v>
      </c>
      <c r="G101" s="1"/>
      <c r="H101" s="1">
        <v>2021.0</v>
      </c>
      <c r="I101" s="1" t="s">
        <v>2563</v>
      </c>
      <c r="J101" s="4" t="s">
        <v>3471</v>
      </c>
      <c r="K101" s="4" t="s">
        <v>3472</v>
      </c>
      <c r="L101" s="1" t="s">
        <v>839</v>
      </c>
    </row>
    <row r="102" hidden="1">
      <c r="A102" s="1">
        <v>8594.0</v>
      </c>
      <c r="B102" s="1" t="s">
        <v>3473</v>
      </c>
      <c r="C102" s="1" t="str">
        <f>IFERROR(__xludf.DUMMYFUNCTION("GOOGLETRANSLATE(B102)"),"Act on Wind Power Plant Investments")</f>
        <v>Act on Wind Power Plant Investments</v>
      </c>
      <c r="D102" s="1" t="s">
        <v>2561</v>
      </c>
      <c r="E102" s="1" t="s">
        <v>2562</v>
      </c>
      <c r="F102" s="1" t="s">
        <v>45</v>
      </c>
      <c r="G102" s="1"/>
      <c r="H102" s="1">
        <v>2016.0</v>
      </c>
      <c r="I102" s="1" t="s">
        <v>2563</v>
      </c>
      <c r="J102" s="1" t="s">
        <v>3474</v>
      </c>
      <c r="K102" s="4" t="s">
        <v>3475</v>
      </c>
      <c r="L102" s="1" t="s">
        <v>23</v>
      </c>
    </row>
    <row r="103" hidden="1">
      <c r="A103" s="1">
        <v>8594.0</v>
      </c>
      <c r="B103" s="1" t="s">
        <v>3476</v>
      </c>
      <c r="C103" s="1" t="str">
        <f>IFERROR(__xludf.DUMMYFUNCTION("GOOGLETRANSLATE(B103)"),"Act of 20 May 2016 on investments in the field of wind farms")</f>
        <v>Act of 20 May 2016 on investments in the field of wind farms</v>
      </c>
      <c r="D103" s="1" t="s">
        <v>2561</v>
      </c>
      <c r="E103" s="1" t="s">
        <v>2562</v>
      </c>
      <c r="F103" s="1" t="s">
        <v>45</v>
      </c>
      <c r="G103" s="1"/>
      <c r="H103" s="1">
        <v>2016.0</v>
      </c>
      <c r="I103" s="1" t="s">
        <v>2563</v>
      </c>
      <c r="J103" s="4" t="s">
        <v>3477</v>
      </c>
      <c r="K103" s="4" t="s">
        <v>3478</v>
      </c>
      <c r="L103" s="1" t="s">
        <v>229</v>
      </c>
    </row>
    <row r="104">
      <c r="A104" s="9">
        <v>9391.0</v>
      </c>
      <c r="B104" s="3"/>
      <c r="C104" s="9" t="str">
        <f>IFERROR(__xludf.DUMMYFUNCTION("GOOGLETRANSLATE(B104)"),"#VALUE!")</f>
        <v>#VALUE!</v>
      </c>
      <c r="D104" s="9" t="s">
        <v>2561</v>
      </c>
      <c r="E104" s="9" t="s">
        <v>2562</v>
      </c>
      <c r="F104" s="3"/>
      <c r="G104" s="3"/>
      <c r="H104" s="3"/>
      <c r="I104" s="3"/>
      <c r="J104" s="9" t="s">
        <v>3479</v>
      </c>
      <c r="K104" s="24" t="s">
        <v>3480</v>
      </c>
      <c r="L104" s="9" t="s">
        <v>229</v>
      </c>
      <c r="M104" s="3"/>
      <c r="N104" s="3"/>
      <c r="O104" s="3"/>
      <c r="P104" s="3"/>
      <c r="Q104" s="3"/>
      <c r="R104" s="3"/>
      <c r="S104" s="3"/>
    </row>
    <row r="105" hidden="1">
      <c r="A105" s="1">
        <v>9391.0</v>
      </c>
      <c r="B105" s="1" t="s">
        <v>3481</v>
      </c>
      <c r="C105" s="1" t="str">
        <f>IFERROR(__xludf.DUMMYFUNCTION("GOOGLETRANSLATE(B105)"),"Electromobility Development Plan in Poland")</f>
        <v>Electromobility Development Plan in Poland</v>
      </c>
      <c r="D105" s="1" t="s">
        <v>2561</v>
      </c>
      <c r="E105" s="1" t="s">
        <v>2562</v>
      </c>
      <c r="F105" s="1" t="s">
        <v>234</v>
      </c>
      <c r="G105" s="1"/>
      <c r="H105" s="1">
        <v>2018.0</v>
      </c>
      <c r="I105" s="1" t="s">
        <v>24</v>
      </c>
      <c r="J105" s="1" t="s">
        <v>3482</v>
      </c>
      <c r="K105" s="4" t="s">
        <v>3483</v>
      </c>
      <c r="L105" s="1" t="s">
        <v>23</v>
      </c>
    </row>
    <row r="106" hidden="1">
      <c r="A106" s="1">
        <v>9392.0</v>
      </c>
      <c r="B106" s="1" t="s">
        <v>3484</v>
      </c>
      <c r="C106" s="1" t="str">
        <f>IFERROR(__xludf.DUMMYFUNCTION("GOOGLETRANSLATE(B106)"),"Act amending the Act on personal income tax and the Corporate Income Tax Act")</f>
        <v>Act amending the Act on personal income tax and the Corporate Income Tax Act</v>
      </c>
      <c r="D106" s="1" t="s">
        <v>2561</v>
      </c>
      <c r="E106" s="1" t="s">
        <v>2562</v>
      </c>
      <c r="F106" s="1" t="s">
        <v>45</v>
      </c>
      <c r="G106" s="1"/>
      <c r="H106" s="1">
        <v>2019.0</v>
      </c>
      <c r="I106" s="1" t="s">
        <v>2563</v>
      </c>
      <c r="J106" s="1" t="s">
        <v>3485</v>
      </c>
      <c r="K106" s="4" t="s">
        <v>3486</v>
      </c>
      <c r="L106" s="1" t="s">
        <v>275</v>
      </c>
    </row>
    <row r="107" hidden="1">
      <c r="A107" s="1">
        <v>9392.0</v>
      </c>
      <c r="B107" s="1" t="s">
        <v>3487</v>
      </c>
      <c r="C107" s="1" t="str">
        <f>IFERROR(__xludf.DUMMYFUNCTION("GOOGLETRANSLATE(B107)"),"Act amending the Act on personal income tax and the Income Tax Act
from legal persons")</f>
        <v>Act amending the Act on personal income tax and the Income Tax Act
from legal persons</v>
      </c>
      <c r="D107" s="1" t="s">
        <v>2561</v>
      </c>
      <c r="E107" s="1" t="s">
        <v>2562</v>
      </c>
      <c r="F107" s="1" t="s">
        <v>45</v>
      </c>
      <c r="G107" s="1"/>
      <c r="H107" s="1">
        <v>2019.0</v>
      </c>
      <c r="I107" s="1" t="s">
        <v>2563</v>
      </c>
      <c r="J107" s="1" t="s">
        <v>3488</v>
      </c>
      <c r="K107" s="4" t="s">
        <v>3489</v>
      </c>
      <c r="L107" s="1" t="s">
        <v>23</v>
      </c>
    </row>
    <row r="108" hidden="1">
      <c r="A108" s="1">
        <v>9393.0</v>
      </c>
      <c r="B108" s="1" t="s">
        <v>3490</v>
      </c>
      <c r="C108" s="1" t="str">
        <f>IFERROR(__xludf.DUMMYFUNCTION("GOOGLETRANSLATE(B108)"),"Regulation of the Minister of Energy of November 5, 2019 on detailed conditions for providing support for the purchase of new vehicles from the Low -Emission Fund for natural persons who do not perform business activities and the conditions for accounting"&amp;" for this support")</f>
        <v>Regulation of the Minister of Energy of November 5, 2019 on detailed conditions for providing support for the purchase of new vehicles from the Low -Emission Fund for natural persons who do not perform business activities and the conditions for accounting for this support</v>
      </c>
      <c r="D108" s="1" t="s">
        <v>2561</v>
      </c>
      <c r="E108" s="1" t="s">
        <v>2562</v>
      </c>
      <c r="F108" s="1" t="s">
        <v>34</v>
      </c>
      <c r="G108" s="1"/>
      <c r="H108" s="1">
        <v>2019.0</v>
      </c>
      <c r="I108" s="1" t="s">
        <v>2563</v>
      </c>
      <c r="J108" s="4" t="s">
        <v>3491</v>
      </c>
      <c r="K108" s="4" t="s">
        <v>3492</v>
      </c>
      <c r="L108" s="1" t="s">
        <v>229</v>
      </c>
    </row>
    <row r="109" hidden="1">
      <c r="A109" s="1">
        <v>9393.0</v>
      </c>
      <c r="B109" s="1" t="s">
        <v>3493</v>
      </c>
      <c r="C109" s="1" t="str">
        <f>IFERROR(__xludf.DUMMYFUNCTION("GOOGLETRANSLATE(B109)"),"Regulation of the Minister of State Asset of December 23, 2019 on detailed conditions of granting and the method of settling support granted from the low -emission fund fund")</f>
        <v>Regulation of the Minister of State Asset of December 23, 2019 on detailed conditions of granting and the method of settling support granted from the low -emission fund fund</v>
      </c>
      <c r="D109" s="1" t="s">
        <v>2561</v>
      </c>
      <c r="E109" s="1" t="s">
        <v>2562</v>
      </c>
      <c r="F109" s="1" t="s">
        <v>34</v>
      </c>
      <c r="G109" s="1"/>
      <c r="H109" s="1">
        <v>2019.0</v>
      </c>
      <c r="I109" s="1" t="s">
        <v>2563</v>
      </c>
      <c r="J109" s="4" t="s">
        <v>3494</v>
      </c>
      <c r="K109" s="4" t="s">
        <v>3495</v>
      </c>
      <c r="L109" s="1" t="s">
        <v>229</v>
      </c>
    </row>
    <row r="110" hidden="1">
      <c r="A110" s="1">
        <v>9512.0</v>
      </c>
      <c r="B110" s="1" t="s">
        <v>3496</v>
      </c>
      <c r="C110" s="1" t="str">
        <f>IFERROR(__xludf.DUMMYFUNCTION("GOOGLETRANSLATE(B110)"),"EXECUTIVE SUMMARY OF POLAND’S NATIONAL ENERGY AND CLIMATE PLAN FOR THE YEARS 2021-2030 (NECP PL)")</f>
        <v>EXECUTIVE SUMMARY OF POLAND’S NATIONAL ENERGY AND CLIMATE PLAN FOR THE YEARS 2021-2030 (NECP PL)</v>
      </c>
      <c r="D110" s="1" t="s">
        <v>2561</v>
      </c>
      <c r="E110" s="1" t="s">
        <v>2562</v>
      </c>
      <c r="F110" s="1" t="s">
        <v>234</v>
      </c>
      <c r="G110" s="1"/>
      <c r="H110" s="1">
        <v>2021.0</v>
      </c>
      <c r="I110" s="1" t="s">
        <v>24</v>
      </c>
      <c r="J110" s="1" t="s">
        <v>3497</v>
      </c>
      <c r="K110" s="4" t="s">
        <v>3498</v>
      </c>
      <c r="L110" s="1" t="s">
        <v>23</v>
      </c>
    </row>
    <row r="111" hidden="1">
      <c r="A111" s="1">
        <v>9512.0</v>
      </c>
      <c r="B111" s="1" t="s">
        <v>3499</v>
      </c>
      <c r="C111" s="1" t="str">
        <f>IFERROR(__xludf.DUMMYFUNCTION("GOOGLETRANSLATE(B111)"),"National Plan for Energy and Climate for 2021-2030")</f>
        <v>National Plan for Energy and Climate for 2021-2030</v>
      </c>
      <c r="D111" s="1" t="s">
        <v>2561</v>
      </c>
      <c r="E111" s="1" t="s">
        <v>2562</v>
      </c>
      <c r="F111" s="1" t="s">
        <v>234</v>
      </c>
      <c r="G111" s="1"/>
      <c r="H111" s="1">
        <v>2019.0</v>
      </c>
      <c r="I111" s="1" t="s">
        <v>2563</v>
      </c>
      <c r="J111" s="1" t="s">
        <v>3500</v>
      </c>
      <c r="K111" s="4" t="s">
        <v>3501</v>
      </c>
      <c r="L111" s="1" t="s">
        <v>37</v>
      </c>
    </row>
    <row r="112">
      <c r="G112" s="6"/>
    </row>
    <row r="113">
      <c r="G113" s="6"/>
    </row>
    <row r="114">
      <c r="G114" s="6"/>
    </row>
    <row r="115">
      <c r="G115" s="6"/>
    </row>
    <row r="116">
      <c r="G116" s="6"/>
    </row>
    <row r="117">
      <c r="G117" s="6"/>
    </row>
    <row r="118">
      <c r="G118" s="6"/>
    </row>
    <row r="119">
      <c r="G119" s="6"/>
    </row>
    <row r="120">
      <c r="G120" s="6"/>
    </row>
    <row r="121">
      <c r="G121" s="6"/>
    </row>
    <row r="122">
      <c r="G122" s="6"/>
    </row>
    <row r="123">
      <c r="G123" s="6"/>
    </row>
    <row r="124">
      <c r="G124" s="6"/>
    </row>
    <row r="125">
      <c r="G125" s="6"/>
    </row>
    <row r="126">
      <c r="G126" s="6"/>
    </row>
    <row r="127">
      <c r="G127" s="6"/>
    </row>
    <row r="128">
      <c r="G128" s="6"/>
    </row>
    <row r="129">
      <c r="G129" s="6"/>
    </row>
    <row r="130">
      <c r="G130" s="6"/>
    </row>
    <row r="131">
      <c r="G131" s="6"/>
    </row>
    <row r="132">
      <c r="G132" s="6"/>
    </row>
    <row r="133">
      <c r="G133" s="6"/>
    </row>
    <row r="134">
      <c r="G134" s="6"/>
    </row>
    <row r="135">
      <c r="G135" s="6"/>
    </row>
    <row r="136">
      <c r="G136" s="6"/>
    </row>
    <row r="137">
      <c r="G137" s="6"/>
    </row>
    <row r="138">
      <c r="G138" s="6"/>
    </row>
    <row r="139">
      <c r="G139" s="6"/>
    </row>
    <row r="140">
      <c r="G140" s="6"/>
    </row>
    <row r="141">
      <c r="G141" s="6"/>
    </row>
    <row r="142">
      <c r="G142" s="6"/>
    </row>
    <row r="143">
      <c r="G143" s="6"/>
    </row>
    <row r="144">
      <c r="G144" s="6"/>
    </row>
    <row r="145">
      <c r="G145" s="6"/>
    </row>
    <row r="146">
      <c r="G146" s="6"/>
    </row>
    <row r="147">
      <c r="G147" s="6"/>
    </row>
    <row r="148">
      <c r="G148" s="6"/>
    </row>
    <row r="149">
      <c r="G149" s="6"/>
    </row>
    <row r="150">
      <c r="G150" s="6"/>
    </row>
    <row r="151">
      <c r="G151" s="6"/>
    </row>
    <row r="152">
      <c r="G152" s="6"/>
    </row>
    <row r="153">
      <c r="G153" s="6"/>
    </row>
    <row r="154">
      <c r="G154" s="6"/>
    </row>
    <row r="155">
      <c r="G155" s="6"/>
    </row>
    <row r="156">
      <c r="G156" s="6"/>
    </row>
    <row r="157">
      <c r="G157" s="6"/>
    </row>
    <row r="158">
      <c r="G158" s="6"/>
    </row>
    <row r="159">
      <c r="G159" s="6"/>
    </row>
    <row r="160">
      <c r="G160" s="6"/>
    </row>
    <row r="161">
      <c r="G161" s="6"/>
    </row>
    <row r="162">
      <c r="G162" s="6"/>
    </row>
    <row r="163">
      <c r="G163" s="6"/>
    </row>
    <row r="164">
      <c r="G164" s="6"/>
    </row>
    <row r="165">
      <c r="G165" s="6"/>
    </row>
    <row r="166">
      <c r="G166" s="6"/>
    </row>
    <row r="167">
      <c r="G167" s="6"/>
    </row>
    <row r="168">
      <c r="G168" s="6"/>
    </row>
    <row r="169">
      <c r="G169" s="6"/>
    </row>
    <row r="170">
      <c r="G170" s="6"/>
    </row>
    <row r="171">
      <c r="G171" s="6"/>
    </row>
    <row r="172">
      <c r="G172" s="6"/>
    </row>
    <row r="173">
      <c r="G173" s="6"/>
    </row>
    <row r="174">
      <c r="G174" s="6"/>
    </row>
    <row r="175">
      <c r="G175" s="6"/>
    </row>
    <row r="176">
      <c r="G176" s="6"/>
    </row>
    <row r="177">
      <c r="G177" s="6"/>
    </row>
    <row r="178">
      <c r="G178" s="6"/>
    </row>
    <row r="179">
      <c r="G179" s="6"/>
    </row>
    <row r="180">
      <c r="G180" s="6"/>
    </row>
    <row r="181">
      <c r="G181" s="6"/>
    </row>
    <row r="182">
      <c r="G182" s="6"/>
    </row>
    <row r="183">
      <c r="G183" s="6"/>
    </row>
    <row r="184">
      <c r="G184" s="6"/>
    </row>
    <row r="185">
      <c r="G185" s="6"/>
    </row>
    <row r="186">
      <c r="G186" s="6"/>
    </row>
    <row r="187">
      <c r="G187" s="6"/>
    </row>
    <row r="188">
      <c r="G188" s="6"/>
    </row>
    <row r="189">
      <c r="G189" s="6"/>
    </row>
    <row r="190">
      <c r="G190" s="6"/>
    </row>
    <row r="191">
      <c r="G191" s="6"/>
    </row>
    <row r="192">
      <c r="G192" s="6"/>
    </row>
    <row r="193">
      <c r="G193" s="6"/>
    </row>
    <row r="194">
      <c r="G194" s="6"/>
    </row>
    <row r="195">
      <c r="G195" s="6"/>
    </row>
    <row r="196">
      <c r="G196" s="6"/>
    </row>
    <row r="197">
      <c r="G197" s="6"/>
    </row>
    <row r="198">
      <c r="G198" s="6"/>
    </row>
    <row r="199">
      <c r="G199" s="6"/>
    </row>
    <row r="200">
      <c r="G200" s="6"/>
    </row>
    <row r="201">
      <c r="G201" s="6"/>
    </row>
    <row r="202">
      <c r="G202" s="6"/>
    </row>
    <row r="203">
      <c r="G203" s="6"/>
    </row>
    <row r="204">
      <c r="G204" s="6"/>
    </row>
    <row r="205">
      <c r="G205" s="6"/>
    </row>
    <row r="206">
      <c r="G206" s="6"/>
    </row>
    <row r="207">
      <c r="G207" s="6"/>
    </row>
    <row r="208">
      <c r="G208" s="6"/>
    </row>
    <row r="209">
      <c r="G209" s="6"/>
    </row>
    <row r="210">
      <c r="G210" s="6"/>
    </row>
    <row r="211">
      <c r="G211" s="6"/>
    </row>
    <row r="212">
      <c r="G212" s="6"/>
    </row>
    <row r="213">
      <c r="G213" s="6"/>
    </row>
    <row r="214">
      <c r="G214" s="6"/>
    </row>
    <row r="215">
      <c r="G215" s="6"/>
    </row>
    <row r="216">
      <c r="G216" s="6"/>
    </row>
    <row r="217">
      <c r="G217" s="6"/>
    </row>
    <row r="218">
      <c r="G218" s="6"/>
    </row>
    <row r="219">
      <c r="G219" s="6"/>
    </row>
    <row r="220">
      <c r="G220" s="6"/>
    </row>
    <row r="221">
      <c r="G221" s="6"/>
    </row>
    <row r="222">
      <c r="G222" s="6"/>
    </row>
    <row r="223">
      <c r="G223" s="6"/>
    </row>
    <row r="224">
      <c r="G224" s="6"/>
    </row>
    <row r="225">
      <c r="G225" s="6"/>
    </row>
    <row r="226">
      <c r="G226" s="6"/>
    </row>
    <row r="227">
      <c r="G227" s="6"/>
    </row>
    <row r="228">
      <c r="G228" s="6"/>
    </row>
    <row r="229">
      <c r="G229" s="6"/>
    </row>
    <row r="230">
      <c r="G230" s="6"/>
    </row>
    <row r="231">
      <c r="G231" s="6"/>
    </row>
    <row r="232">
      <c r="G232" s="6"/>
    </row>
    <row r="233">
      <c r="G233" s="6"/>
    </row>
    <row r="234">
      <c r="G234" s="6"/>
    </row>
    <row r="235">
      <c r="G235" s="6"/>
    </row>
    <row r="236">
      <c r="G236" s="6"/>
    </row>
    <row r="237">
      <c r="G237" s="6"/>
    </row>
    <row r="238">
      <c r="G238" s="6"/>
    </row>
    <row r="239">
      <c r="G239" s="6"/>
    </row>
    <row r="240">
      <c r="G240" s="6"/>
    </row>
    <row r="241">
      <c r="G241" s="6"/>
    </row>
    <row r="242">
      <c r="G242" s="6"/>
    </row>
    <row r="243">
      <c r="G243" s="6"/>
    </row>
    <row r="244">
      <c r="G244" s="6"/>
    </row>
    <row r="245">
      <c r="G245" s="6"/>
    </row>
    <row r="246">
      <c r="G246" s="6"/>
    </row>
    <row r="247">
      <c r="G247" s="6"/>
    </row>
    <row r="248">
      <c r="G248" s="6"/>
    </row>
    <row r="249">
      <c r="G249" s="6"/>
    </row>
    <row r="250">
      <c r="G250" s="6"/>
    </row>
    <row r="251">
      <c r="G251" s="6"/>
    </row>
    <row r="252">
      <c r="G252" s="6"/>
    </row>
    <row r="253">
      <c r="G253" s="6"/>
    </row>
    <row r="254">
      <c r="G254" s="6"/>
    </row>
    <row r="255">
      <c r="G255" s="6"/>
    </row>
    <row r="256">
      <c r="G256" s="6"/>
    </row>
    <row r="257">
      <c r="G257" s="6"/>
    </row>
    <row r="258">
      <c r="G258" s="6"/>
    </row>
    <row r="259">
      <c r="G259" s="6"/>
    </row>
    <row r="260">
      <c r="G260" s="6"/>
    </row>
    <row r="261">
      <c r="G261" s="6"/>
    </row>
    <row r="262">
      <c r="G262" s="6"/>
    </row>
    <row r="263">
      <c r="G263" s="6"/>
    </row>
    <row r="264">
      <c r="G264" s="6"/>
    </row>
    <row r="265">
      <c r="G265" s="6"/>
    </row>
    <row r="266">
      <c r="G266" s="6"/>
    </row>
    <row r="267">
      <c r="G267" s="6"/>
    </row>
    <row r="268">
      <c r="G268" s="6"/>
    </row>
    <row r="269">
      <c r="G269" s="6"/>
    </row>
    <row r="270">
      <c r="G270" s="6"/>
    </row>
    <row r="271">
      <c r="G271" s="6"/>
    </row>
    <row r="272">
      <c r="G272" s="6"/>
    </row>
    <row r="273">
      <c r="G273" s="6"/>
    </row>
    <row r="274">
      <c r="G274" s="6"/>
    </row>
    <row r="275">
      <c r="G275" s="6"/>
    </row>
    <row r="276">
      <c r="G276" s="6"/>
    </row>
    <row r="277">
      <c r="G277" s="6"/>
    </row>
    <row r="278">
      <c r="G278" s="6"/>
    </row>
    <row r="279">
      <c r="G279" s="6"/>
    </row>
    <row r="280">
      <c r="G280" s="6"/>
    </row>
    <row r="281">
      <c r="G281" s="6"/>
    </row>
    <row r="282">
      <c r="G282" s="6"/>
    </row>
    <row r="283">
      <c r="G283" s="6"/>
    </row>
    <row r="284">
      <c r="G284" s="6"/>
    </row>
    <row r="285">
      <c r="G285" s="6"/>
    </row>
    <row r="286">
      <c r="G286" s="6"/>
    </row>
    <row r="287">
      <c r="G287" s="6"/>
    </row>
    <row r="288">
      <c r="G288" s="6"/>
    </row>
    <row r="289">
      <c r="G289" s="6"/>
    </row>
    <row r="290">
      <c r="G290" s="6"/>
    </row>
    <row r="291">
      <c r="G291" s="6"/>
    </row>
    <row r="292">
      <c r="G292" s="6"/>
    </row>
    <row r="293">
      <c r="G293" s="6"/>
    </row>
    <row r="294">
      <c r="G294" s="6"/>
    </row>
    <row r="295">
      <c r="G295" s="6"/>
    </row>
    <row r="296">
      <c r="G296" s="6"/>
    </row>
    <row r="297">
      <c r="G297" s="6"/>
    </row>
    <row r="298">
      <c r="G298" s="6"/>
    </row>
    <row r="299">
      <c r="G299" s="6"/>
    </row>
    <row r="300">
      <c r="G300" s="6"/>
    </row>
    <row r="301">
      <c r="G301" s="6"/>
    </row>
    <row r="302">
      <c r="G302" s="6"/>
    </row>
    <row r="303">
      <c r="G303" s="6"/>
    </row>
    <row r="304">
      <c r="G304" s="6"/>
    </row>
    <row r="305">
      <c r="G305" s="6"/>
    </row>
    <row r="306">
      <c r="G306" s="6"/>
    </row>
    <row r="307">
      <c r="G307" s="6"/>
    </row>
    <row r="308">
      <c r="G308" s="6"/>
    </row>
    <row r="309">
      <c r="G309" s="6"/>
    </row>
    <row r="310">
      <c r="G310" s="6"/>
    </row>
    <row r="311">
      <c r="G311" s="6"/>
    </row>
    <row r="312">
      <c r="G312" s="6"/>
    </row>
    <row r="313">
      <c r="G313" s="6"/>
    </row>
    <row r="314">
      <c r="G314" s="6"/>
    </row>
    <row r="315">
      <c r="G315" s="6"/>
    </row>
    <row r="316">
      <c r="G316" s="6"/>
    </row>
    <row r="317">
      <c r="G317" s="6"/>
    </row>
    <row r="318">
      <c r="G318" s="6"/>
    </row>
    <row r="319">
      <c r="G319" s="6"/>
    </row>
    <row r="320">
      <c r="G320" s="6"/>
    </row>
    <row r="321">
      <c r="G321" s="6"/>
    </row>
    <row r="322">
      <c r="G322" s="6"/>
    </row>
    <row r="323">
      <c r="G323" s="6"/>
    </row>
    <row r="324">
      <c r="G324" s="6"/>
    </row>
    <row r="325">
      <c r="G325" s="6"/>
    </row>
    <row r="326">
      <c r="G326" s="6"/>
    </row>
    <row r="327">
      <c r="G327" s="6"/>
    </row>
    <row r="328">
      <c r="G328" s="6"/>
    </row>
    <row r="329">
      <c r="G329" s="6"/>
    </row>
    <row r="330">
      <c r="G330" s="6"/>
    </row>
    <row r="331">
      <c r="G331" s="6"/>
    </row>
    <row r="332">
      <c r="G332" s="6"/>
    </row>
    <row r="333">
      <c r="G333" s="6"/>
    </row>
    <row r="334">
      <c r="G334" s="6"/>
    </row>
    <row r="335">
      <c r="G335" s="6"/>
    </row>
    <row r="336">
      <c r="G336" s="6"/>
    </row>
    <row r="337">
      <c r="G337" s="6"/>
    </row>
    <row r="338">
      <c r="G338" s="6"/>
    </row>
    <row r="339">
      <c r="G339" s="6"/>
    </row>
    <row r="340">
      <c r="G340" s="6"/>
    </row>
    <row r="341">
      <c r="G341" s="6"/>
    </row>
    <row r="342">
      <c r="G342" s="6"/>
    </row>
    <row r="343">
      <c r="G343" s="6"/>
    </row>
    <row r="344">
      <c r="G344" s="6"/>
    </row>
    <row r="345">
      <c r="G345" s="6"/>
    </row>
    <row r="346">
      <c r="G346" s="6"/>
    </row>
    <row r="347">
      <c r="G347" s="6"/>
    </row>
    <row r="348">
      <c r="G348" s="6"/>
    </row>
    <row r="349">
      <c r="G349" s="6"/>
    </row>
    <row r="350">
      <c r="G350" s="6"/>
    </row>
    <row r="351">
      <c r="G351" s="6"/>
    </row>
    <row r="352">
      <c r="G352" s="6"/>
    </row>
    <row r="353">
      <c r="G353" s="6"/>
    </row>
    <row r="354">
      <c r="G354" s="6"/>
    </row>
    <row r="355">
      <c r="G355" s="6"/>
    </row>
    <row r="356">
      <c r="G356" s="6"/>
    </row>
    <row r="357">
      <c r="G357" s="6"/>
    </row>
    <row r="358">
      <c r="G358" s="6"/>
    </row>
    <row r="359">
      <c r="G359" s="6"/>
    </row>
    <row r="360">
      <c r="G360" s="6"/>
    </row>
    <row r="361">
      <c r="G361" s="6"/>
    </row>
    <row r="362">
      <c r="G362" s="6"/>
    </row>
    <row r="363">
      <c r="G363" s="6"/>
    </row>
    <row r="364">
      <c r="G364" s="6"/>
    </row>
    <row r="365">
      <c r="G365" s="6"/>
    </row>
    <row r="366">
      <c r="G366" s="6"/>
    </row>
    <row r="367">
      <c r="G367" s="6"/>
    </row>
    <row r="368">
      <c r="G368" s="6"/>
    </row>
    <row r="369">
      <c r="G369" s="6"/>
    </row>
    <row r="370">
      <c r="G370" s="6"/>
    </row>
    <row r="371">
      <c r="G371" s="6"/>
    </row>
    <row r="372">
      <c r="G372" s="6"/>
    </row>
    <row r="373">
      <c r="G373" s="6"/>
    </row>
    <row r="374">
      <c r="G374" s="6"/>
    </row>
    <row r="375">
      <c r="G375" s="6"/>
    </row>
    <row r="376">
      <c r="G376" s="6"/>
    </row>
    <row r="377">
      <c r="G377" s="6"/>
    </row>
    <row r="378">
      <c r="G378" s="6"/>
    </row>
    <row r="379">
      <c r="G379" s="6"/>
    </row>
    <row r="380">
      <c r="G380" s="6"/>
    </row>
    <row r="381">
      <c r="G381" s="6"/>
    </row>
    <row r="382">
      <c r="G382" s="6"/>
    </row>
    <row r="383">
      <c r="G383" s="6"/>
    </row>
    <row r="384">
      <c r="G384" s="6"/>
    </row>
    <row r="385">
      <c r="G385" s="6"/>
    </row>
    <row r="386">
      <c r="G386" s="6"/>
    </row>
    <row r="387">
      <c r="G387" s="6"/>
    </row>
    <row r="388">
      <c r="G388" s="6"/>
    </row>
    <row r="389">
      <c r="G389" s="6"/>
    </row>
    <row r="390">
      <c r="G390" s="6"/>
    </row>
    <row r="391">
      <c r="G391" s="6"/>
    </row>
    <row r="392">
      <c r="G392" s="6"/>
    </row>
    <row r="393">
      <c r="G393" s="6"/>
    </row>
    <row r="394">
      <c r="G394" s="6"/>
    </row>
    <row r="395">
      <c r="G395" s="6"/>
    </row>
    <row r="396">
      <c r="G396" s="6"/>
    </row>
    <row r="397">
      <c r="G397" s="6"/>
    </row>
    <row r="398">
      <c r="G398" s="6"/>
    </row>
    <row r="399">
      <c r="G399" s="6"/>
    </row>
    <row r="400">
      <c r="G400" s="6"/>
    </row>
    <row r="401">
      <c r="G401" s="6"/>
    </row>
    <row r="402">
      <c r="G402" s="6"/>
    </row>
    <row r="403">
      <c r="G403" s="6"/>
    </row>
    <row r="404">
      <c r="G404" s="6"/>
    </row>
    <row r="405">
      <c r="G405" s="6"/>
    </row>
    <row r="406">
      <c r="G406" s="6"/>
    </row>
    <row r="407">
      <c r="G407" s="6"/>
    </row>
    <row r="408">
      <c r="G408" s="6"/>
    </row>
    <row r="409">
      <c r="G409" s="6"/>
    </row>
    <row r="410">
      <c r="G410" s="6"/>
    </row>
    <row r="411">
      <c r="G411" s="6"/>
    </row>
    <row r="412">
      <c r="G412" s="6"/>
    </row>
    <row r="413">
      <c r="G413" s="6"/>
    </row>
    <row r="414">
      <c r="G414" s="6"/>
    </row>
    <row r="415">
      <c r="G415" s="6"/>
    </row>
    <row r="416">
      <c r="G416" s="6"/>
    </row>
    <row r="417">
      <c r="G417" s="6"/>
    </row>
    <row r="418">
      <c r="G418" s="6"/>
    </row>
    <row r="419">
      <c r="G419" s="6"/>
    </row>
    <row r="420">
      <c r="G420" s="6"/>
    </row>
    <row r="421">
      <c r="G421" s="6"/>
    </row>
    <row r="422">
      <c r="G422" s="6"/>
    </row>
    <row r="423">
      <c r="G423" s="6"/>
    </row>
    <row r="424">
      <c r="G424" s="6"/>
    </row>
    <row r="425">
      <c r="G425" s="6"/>
    </row>
    <row r="426">
      <c r="G426" s="6"/>
    </row>
    <row r="427">
      <c r="G427" s="6"/>
    </row>
    <row r="428">
      <c r="G428" s="6"/>
    </row>
    <row r="429">
      <c r="G429" s="6"/>
    </row>
    <row r="430">
      <c r="G430" s="6"/>
    </row>
    <row r="431">
      <c r="G431" s="6"/>
    </row>
    <row r="432">
      <c r="G432" s="6"/>
    </row>
    <row r="433">
      <c r="G433" s="6"/>
    </row>
    <row r="434">
      <c r="G434" s="6"/>
    </row>
    <row r="435">
      <c r="G435" s="6"/>
    </row>
    <row r="436">
      <c r="G436" s="6"/>
    </row>
    <row r="437">
      <c r="G437" s="6"/>
    </row>
    <row r="438">
      <c r="G438" s="6"/>
    </row>
    <row r="439">
      <c r="G439" s="6"/>
    </row>
    <row r="440">
      <c r="G440" s="6"/>
    </row>
    <row r="441">
      <c r="G441" s="6"/>
    </row>
    <row r="442">
      <c r="G442" s="6"/>
    </row>
    <row r="443">
      <c r="G443" s="6"/>
    </row>
    <row r="444">
      <c r="G444" s="6"/>
    </row>
    <row r="445">
      <c r="G445" s="6"/>
    </row>
    <row r="446">
      <c r="G446" s="6"/>
    </row>
    <row r="447">
      <c r="G447" s="6"/>
    </row>
    <row r="448">
      <c r="G448" s="6"/>
    </row>
    <row r="449">
      <c r="G449" s="6"/>
    </row>
    <row r="450">
      <c r="G450" s="6"/>
    </row>
    <row r="451">
      <c r="G451" s="6"/>
    </row>
    <row r="452">
      <c r="G452" s="6"/>
    </row>
    <row r="453">
      <c r="G453" s="6"/>
    </row>
    <row r="454">
      <c r="G454" s="6"/>
    </row>
    <row r="455">
      <c r="G455" s="6"/>
    </row>
    <row r="456">
      <c r="G456" s="6"/>
    </row>
    <row r="457">
      <c r="G457" s="6"/>
    </row>
    <row r="458">
      <c r="G458" s="6"/>
    </row>
    <row r="459">
      <c r="G459" s="6"/>
    </row>
    <row r="460">
      <c r="G460" s="6"/>
    </row>
    <row r="461">
      <c r="G461" s="6"/>
    </row>
    <row r="462">
      <c r="G462" s="6"/>
    </row>
    <row r="463">
      <c r="G463" s="6"/>
    </row>
    <row r="464">
      <c r="G464" s="6"/>
    </row>
    <row r="465">
      <c r="G465" s="6"/>
    </row>
    <row r="466">
      <c r="G466" s="6"/>
    </row>
    <row r="467">
      <c r="G467" s="6"/>
    </row>
    <row r="468">
      <c r="G468" s="6"/>
    </row>
    <row r="469">
      <c r="G469" s="6"/>
    </row>
    <row r="470">
      <c r="G470" s="6"/>
    </row>
    <row r="471">
      <c r="G471" s="6"/>
    </row>
    <row r="472">
      <c r="G472" s="6"/>
    </row>
    <row r="473">
      <c r="G473" s="6"/>
    </row>
    <row r="474">
      <c r="G474" s="6"/>
    </row>
    <row r="475">
      <c r="G475" s="6"/>
    </row>
    <row r="476">
      <c r="G476" s="6"/>
    </row>
    <row r="477">
      <c r="G477" s="6"/>
    </row>
    <row r="478">
      <c r="G478" s="6"/>
    </row>
    <row r="479">
      <c r="G479" s="6"/>
    </row>
    <row r="480">
      <c r="G480" s="6"/>
    </row>
    <row r="481">
      <c r="G481" s="6"/>
    </row>
    <row r="482">
      <c r="G482" s="6"/>
    </row>
    <row r="483">
      <c r="G483" s="6"/>
    </row>
    <row r="484">
      <c r="G484" s="6"/>
    </row>
    <row r="485">
      <c r="G485" s="6"/>
    </row>
    <row r="486">
      <c r="G486" s="6"/>
    </row>
    <row r="487">
      <c r="G487" s="6"/>
    </row>
    <row r="488">
      <c r="G488" s="6"/>
    </row>
    <row r="489">
      <c r="G489" s="6"/>
    </row>
    <row r="490">
      <c r="G490" s="6"/>
    </row>
    <row r="491">
      <c r="G491" s="6"/>
    </row>
    <row r="492">
      <c r="G492" s="6"/>
    </row>
    <row r="493">
      <c r="G493" s="6"/>
    </row>
    <row r="494">
      <c r="G494" s="6"/>
    </row>
    <row r="495">
      <c r="G495" s="6"/>
    </row>
    <row r="496">
      <c r="G496" s="6"/>
    </row>
    <row r="497">
      <c r="G497" s="6"/>
    </row>
    <row r="498">
      <c r="G498" s="6"/>
    </row>
    <row r="499">
      <c r="G499" s="6"/>
    </row>
    <row r="500">
      <c r="G500" s="6"/>
    </row>
    <row r="501">
      <c r="G501" s="6"/>
    </row>
    <row r="502">
      <c r="G502" s="6"/>
    </row>
    <row r="503">
      <c r="G503" s="6"/>
    </row>
    <row r="504">
      <c r="G504" s="6"/>
    </row>
    <row r="505">
      <c r="G505" s="6"/>
    </row>
    <row r="506">
      <c r="G506" s="6"/>
    </row>
    <row r="507">
      <c r="G507" s="6"/>
    </row>
    <row r="508">
      <c r="G508" s="6"/>
    </row>
    <row r="509">
      <c r="G509" s="6"/>
    </row>
    <row r="510">
      <c r="G510" s="6"/>
    </row>
    <row r="511">
      <c r="G511" s="6"/>
    </row>
    <row r="512">
      <c r="G512" s="6"/>
    </row>
    <row r="513">
      <c r="G513" s="6"/>
    </row>
    <row r="514">
      <c r="G514" s="6"/>
    </row>
    <row r="515">
      <c r="G515" s="6"/>
    </row>
    <row r="516">
      <c r="G516" s="6"/>
    </row>
    <row r="517">
      <c r="G517" s="6"/>
    </row>
    <row r="518">
      <c r="G518" s="6"/>
    </row>
    <row r="519">
      <c r="G519" s="6"/>
    </row>
    <row r="520">
      <c r="G520" s="6"/>
    </row>
    <row r="521">
      <c r="G521" s="6"/>
    </row>
    <row r="522">
      <c r="G522" s="6"/>
    </row>
    <row r="523">
      <c r="G523" s="6"/>
    </row>
    <row r="524">
      <c r="G524" s="6"/>
    </row>
    <row r="525">
      <c r="G525" s="6"/>
    </row>
    <row r="526">
      <c r="G526" s="6"/>
    </row>
    <row r="527">
      <c r="G527" s="6"/>
    </row>
    <row r="528">
      <c r="G528" s="6"/>
    </row>
    <row r="529">
      <c r="G529" s="6"/>
    </row>
    <row r="530">
      <c r="G530" s="6"/>
    </row>
    <row r="531">
      <c r="G531" s="6"/>
    </row>
    <row r="532">
      <c r="G532" s="6"/>
    </row>
    <row r="533">
      <c r="G533" s="6"/>
    </row>
    <row r="534">
      <c r="G534" s="6"/>
    </row>
    <row r="535">
      <c r="G535" s="6"/>
    </row>
    <row r="536">
      <c r="G536" s="6"/>
    </row>
    <row r="537">
      <c r="G537" s="6"/>
    </row>
    <row r="538">
      <c r="G538" s="6"/>
    </row>
    <row r="539">
      <c r="G539" s="6"/>
    </row>
    <row r="540">
      <c r="G540" s="6"/>
    </row>
    <row r="541">
      <c r="G541" s="6"/>
    </row>
    <row r="542">
      <c r="G542" s="6"/>
    </row>
    <row r="543">
      <c r="G543" s="6"/>
    </row>
    <row r="544">
      <c r="G544" s="6"/>
    </row>
    <row r="545">
      <c r="G545" s="6"/>
    </row>
    <row r="546">
      <c r="G546" s="6"/>
    </row>
    <row r="547">
      <c r="G547" s="6"/>
    </row>
    <row r="548">
      <c r="G548" s="6"/>
    </row>
    <row r="549">
      <c r="G549" s="6"/>
    </row>
    <row r="550">
      <c r="G550" s="6"/>
    </row>
    <row r="551">
      <c r="G551" s="6"/>
    </row>
    <row r="552">
      <c r="G552" s="6"/>
    </row>
    <row r="553">
      <c r="G553" s="6"/>
    </row>
    <row r="554">
      <c r="G554" s="6"/>
    </row>
    <row r="555">
      <c r="G555" s="6"/>
    </row>
    <row r="556">
      <c r="G556" s="6"/>
    </row>
    <row r="557">
      <c r="G557" s="6"/>
    </row>
    <row r="558">
      <c r="G558" s="6"/>
    </row>
    <row r="559">
      <c r="G559" s="6"/>
    </row>
    <row r="560">
      <c r="G560" s="6"/>
    </row>
    <row r="561">
      <c r="G561" s="6"/>
    </row>
    <row r="562">
      <c r="G562" s="6"/>
    </row>
    <row r="563">
      <c r="G563" s="6"/>
    </row>
    <row r="564">
      <c r="G564" s="6"/>
    </row>
    <row r="565">
      <c r="G565" s="6"/>
    </row>
    <row r="566">
      <c r="G566" s="6"/>
    </row>
    <row r="567">
      <c r="G567" s="6"/>
    </row>
    <row r="568">
      <c r="G568" s="6"/>
    </row>
    <row r="569">
      <c r="G569" s="6"/>
    </row>
    <row r="570">
      <c r="G570" s="6"/>
    </row>
    <row r="571">
      <c r="G571" s="6"/>
    </row>
    <row r="572">
      <c r="G572" s="6"/>
    </row>
    <row r="573">
      <c r="G573" s="6"/>
    </row>
    <row r="574">
      <c r="G574" s="6"/>
    </row>
    <row r="575">
      <c r="G575" s="6"/>
    </row>
    <row r="576">
      <c r="G576" s="6"/>
    </row>
    <row r="577">
      <c r="G577" s="6"/>
    </row>
    <row r="578">
      <c r="G578" s="6"/>
    </row>
    <row r="579">
      <c r="G579" s="6"/>
    </row>
    <row r="580">
      <c r="G580" s="6"/>
    </row>
    <row r="581">
      <c r="G581" s="6"/>
    </row>
    <row r="582">
      <c r="G582" s="6"/>
    </row>
    <row r="583">
      <c r="G583" s="6"/>
    </row>
    <row r="584">
      <c r="G584" s="6"/>
    </row>
    <row r="585">
      <c r="G585" s="6"/>
    </row>
    <row r="586">
      <c r="G586" s="6"/>
    </row>
    <row r="587">
      <c r="G587" s="6"/>
    </row>
    <row r="588">
      <c r="G588" s="6"/>
    </row>
    <row r="589">
      <c r="G589" s="6"/>
    </row>
    <row r="590">
      <c r="G590" s="6"/>
    </row>
    <row r="591">
      <c r="G591" s="6"/>
    </row>
    <row r="592">
      <c r="G592" s="6"/>
    </row>
    <row r="593">
      <c r="G593" s="6"/>
    </row>
    <row r="594">
      <c r="G594" s="6"/>
    </row>
    <row r="595">
      <c r="G595" s="6"/>
    </row>
    <row r="596">
      <c r="G596" s="6"/>
    </row>
    <row r="597">
      <c r="G597" s="6"/>
    </row>
    <row r="598">
      <c r="G598" s="6"/>
    </row>
    <row r="599">
      <c r="G599" s="6"/>
    </row>
    <row r="600">
      <c r="G600" s="6"/>
    </row>
    <row r="601">
      <c r="G601" s="6"/>
    </row>
    <row r="602">
      <c r="G602" s="6"/>
    </row>
    <row r="603">
      <c r="G603" s="6"/>
    </row>
    <row r="604">
      <c r="G604" s="6"/>
    </row>
    <row r="605">
      <c r="G605" s="6"/>
    </row>
    <row r="606">
      <c r="G606" s="6"/>
    </row>
    <row r="607">
      <c r="G607" s="6"/>
    </row>
    <row r="608">
      <c r="G608" s="6"/>
    </row>
    <row r="609">
      <c r="G609" s="6"/>
    </row>
    <row r="610">
      <c r="G610" s="6"/>
    </row>
    <row r="611">
      <c r="G611" s="6"/>
    </row>
    <row r="612">
      <c r="G612" s="6"/>
    </row>
    <row r="613">
      <c r="G613" s="6"/>
    </row>
    <row r="614">
      <c r="G614" s="6"/>
    </row>
    <row r="615">
      <c r="G615" s="6"/>
    </row>
    <row r="616">
      <c r="G616" s="6"/>
    </row>
    <row r="617">
      <c r="G617" s="6"/>
    </row>
    <row r="618">
      <c r="G618" s="6"/>
    </row>
    <row r="619">
      <c r="G619" s="6"/>
    </row>
    <row r="620">
      <c r="G620" s="6"/>
    </row>
    <row r="621">
      <c r="G621" s="6"/>
    </row>
    <row r="622">
      <c r="G622" s="6"/>
    </row>
    <row r="623">
      <c r="G623" s="6"/>
    </row>
    <row r="624">
      <c r="G624" s="6"/>
    </row>
    <row r="625">
      <c r="G625" s="6"/>
    </row>
    <row r="626">
      <c r="G626" s="6"/>
    </row>
    <row r="627">
      <c r="G627" s="6"/>
    </row>
    <row r="628">
      <c r="G628" s="6"/>
    </row>
    <row r="629">
      <c r="G629" s="6"/>
    </row>
    <row r="630">
      <c r="G630" s="6"/>
    </row>
    <row r="631">
      <c r="G631" s="6"/>
    </row>
    <row r="632">
      <c r="G632" s="6"/>
    </row>
    <row r="633">
      <c r="G633" s="6"/>
    </row>
    <row r="634">
      <c r="G634" s="6"/>
    </row>
    <row r="635">
      <c r="G635" s="6"/>
    </row>
    <row r="636">
      <c r="G636" s="6"/>
    </row>
    <row r="637">
      <c r="G637" s="6"/>
    </row>
    <row r="638">
      <c r="G638" s="6"/>
    </row>
    <row r="639">
      <c r="G639" s="6"/>
    </row>
    <row r="640">
      <c r="G640" s="6"/>
    </row>
    <row r="641">
      <c r="G641" s="6"/>
    </row>
    <row r="642">
      <c r="G642" s="6"/>
    </row>
    <row r="643">
      <c r="G643" s="6"/>
    </row>
    <row r="644">
      <c r="G644" s="6"/>
    </row>
    <row r="645">
      <c r="G645" s="6"/>
    </row>
    <row r="646">
      <c r="G646" s="6"/>
    </row>
    <row r="647">
      <c r="G647" s="6"/>
    </row>
    <row r="648">
      <c r="G648" s="6"/>
    </row>
    <row r="649">
      <c r="G649" s="6"/>
    </row>
    <row r="650">
      <c r="G650" s="6"/>
    </row>
    <row r="651">
      <c r="G651" s="6"/>
    </row>
    <row r="652">
      <c r="G652" s="6"/>
    </row>
    <row r="653">
      <c r="G653" s="6"/>
    </row>
    <row r="654">
      <c r="G654" s="6"/>
    </row>
    <row r="655">
      <c r="G655" s="6"/>
    </row>
    <row r="656">
      <c r="G656" s="6"/>
    </row>
    <row r="657">
      <c r="G657" s="6"/>
    </row>
    <row r="658">
      <c r="G658" s="6"/>
    </row>
    <row r="659">
      <c r="G659" s="6"/>
    </row>
    <row r="660">
      <c r="G660" s="6"/>
    </row>
    <row r="661">
      <c r="G661" s="6"/>
    </row>
    <row r="662">
      <c r="G662" s="6"/>
    </row>
    <row r="663">
      <c r="G663" s="6"/>
    </row>
    <row r="664">
      <c r="G664" s="6"/>
    </row>
    <row r="665">
      <c r="G665" s="6"/>
    </row>
    <row r="666">
      <c r="G666" s="6"/>
    </row>
    <row r="667">
      <c r="G667" s="6"/>
    </row>
    <row r="668">
      <c r="G668" s="6"/>
    </row>
    <row r="669">
      <c r="G669" s="6"/>
    </row>
    <row r="670">
      <c r="G670" s="6"/>
    </row>
    <row r="671">
      <c r="G671" s="6"/>
    </row>
    <row r="672">
      <c r="G672" s="6"/>
    </row>
    <row r="673">
      <c r="G673" s="6"/>
    </row>
    <row r="674">
      <c r="G674" s="6"/>
    </row>
    <row r="675">
      <c r="G675" s="6"/>
    </row>
    <row r="676">
      <c r="G676" s="6"/>
    </row>
    <row r="677">
      <c r="G677" s="6"/>
    </row>
    <row r="678">
      <c r="G678" s="6"/>
    </row>
    <row r="679">
      <c r="G679" s="6"/>
    </row>
    <row r="680">
      <c r="G680" s="6"/>
    </row>
    <row r="681">
      <c r="G681" s="6"/>
    </row>
    <row r="682">
      <c r="G682" s="6"/>
    </row>
    <row r="683">
      <c r="G683" s="6"/>
    </row>
    <row r="684">
      <c r="G684" s="6"/>
    </row>
    <row r="685">
      <c r="G685" s="6"/>
    </row>
    <row r="686">
      <c r="G686" s="6"/>
    </row>
    <row r="687">
      <c r="G687" s="6"/>
    </row>
    <row r="688">
      <c r="G688" s="6"/>
    </row>
    <row r="689">
      <c r="G689" s="6"/>
    </row>
    <row r="690">
      <c r="G690" s="6"/>
    </row>
    <row r="691">
      <c r="G691" s="6"/>
    </row>
    <row r="692">
      <c r="G692" s="6"/>
    </row>
    <row r="693">
      <c r="G693" s="6"/>
    </row>
    <row r="694">
      <c r="G694" s="6"/>
    </row>
    <row r="695">
      <c r="G695" s="6"/>
    </row>
    <row r="696">
      <c r="G696" s="6"/>
    </row>
    <row r="697">
      <c r="G697" s="6"/>
    </row>
    <row r="698">
      <c r="G698" s="6"/>
    </row>
    <row r="699">
      <c r="G699" s="6"/>
    </row>
    <row r="700">
      <c r="G700" s="6"/>
    </row>
    <row r="701">
      <c r="G701" s="6"/>
    </row>
    <row r="702">
      <c r="G702" s="6"/>
    </row>
    <row r="703">
      <c r="G703" s="6"/>
    </row>
    <row r="704">
      <c r="G704" s="6"/>
    </row>
    <row r="705">
      <c r="G705" s="6"/>
    </row>
    <row r="706">
      <c r="G706" s="6"/>
    </row>
    <row r="707">
      <c r="G707" s="6"/>
    </row>
    <row r="708">
      <c r="G708" s="6"/>
    </row>
    <row r="709">
      <c r="G709" s="6"/>
    </row>
    <row r="710">
      <c r="G710" s="6"/>
    </row>
    <row r="711">
      <c r="G711" s="6"/>
    </row>
    <row r="712">
      <c r="G712" s="6"/>
    </row>
    <row r="713">
      <c r="G713" s="6"/>
    </row>
    <row r="714">
      <c r="G714" s="6"/>
    </row>
    <row r="715">
      <c r="G715" s="6"/>
    </row>
    <row r="716">
      <c r="G716" s="6"/>
    </row>
    <row r="717">
      <c r="G717" s="6"/>
    </row>
    <row r="718">
      <c r="G718" s="6"/>
    </row>
    <row r="719">
      <c r="G719" s="6"/>
    </row>
    <row r="720">
      <c r="G720" s="6"/>
    </row>
    <row r="721">
      <c r="G721" s="6"/>
    </row>
    <row r="722">
      <c r="G722" s="6"/>
    </row>
    <row r="723">
      <c r="G723" s="6"/>
    </row>
    <row r="724">
      <c r="G724" s="6"/>
    </row>
    <row r="725">
      <c r="G725" s="6"/>
    </row>
    <row r="726">
      <c r="G726" s="6"/>
    </row>
    <row r="727">
      <c r="G727" s="6"/>
    </row>
    <row r="728">
      <c r="G728" s="6"/>
    </row>
    <row r="729">
      <c r="G729" s="6"/>
    </row>
    <row r="730">
      <c r="G730" s="6"/>
    </row>
    <row r="731">
      <c r="G731" s="6"/>
    </row>
    <row r="732">
      <c r="G732" s="6"/>
    </row>
    <row r="733">
      <c r="G733" s="6"/>
    </row>
    <row r="734">
      <c r="G734" s="6"/>
    </row>
    <row r="735">
      <c r="G735" s="6"/>
    </row>
    <row r="736">
      <c r="G736" s="6"/>
    </row>
    <row r="737">
      <c r="G737" s="6"/>
    </row>
    <row r="738">
      <c r="G738" s="6"/>
    </row>
    <row r="739">
      <c r="G739" s="6"/>
    </row>
    <row r="740">
      <c r="G740" s="6"/>
    </row>
    <row r="741">
      <c r="G741" s="6"/>
    </row>
    <row r="742">
      <c r="G742" s="6"/>
    </row>
    <row r="743">
      <c r="G743" s="6"/>
    </row>
    <row r="744">
      <c r="G744" s="6"/>
    </row>
    <row r="745">
      <c r="G745" s="6"/>
    </row>
    <row r="746">
      <c r="G746" s="6"/>
    </row>
    <row r="747">
      <c r="G747" s="6"/>
    </row>
    <row r="748">
      <c r="G748" s="6"/>
    </row>
    <row r="749">
      <c r="G749" s="6"/>
    </row>
    <row r="750">
      <c r="G750" s="6"/>
    </row>
    <row r="751">
      <c r="G751" s="6"/>
    </row>
    <row r="752">
      <c r="G752" s="6"/>
    </row>
    <row r="753">
      <c r="G753" s="6"/>
    </row>
    <row r="754">
      <c r="G754" s="6"/>
    </row>
    <row r="755">
      <c r="G755" s="6"/>
    </row>
    <row r="756">
      <c r="G756" s="6"/>
    </row>
    <row r="757">
      <c r="G757" s="6"/>
    </row>
    <row r="758">
      <c r="G758" s="6"/>
    </row>
    <row r="759">
      <c r="G759" s="6"/>
    </row>
    <row r="760">
      <c r="G760" s="6"/>
    </row>
    <row r="761">
      <c r="G761" s="6"/>
    </row>
    <row r="762">
      <c r="G762" s="6"/>
    </row>
    <row r="763">
      <c r="G763" s="6"/>
    </row>
    <row r="764">
      <c r="G764" s="6"/>
    </row>
    <row r="765">
      <c r="G765" s="6"/>
    </row>
    <row r="766">
      <c r="G766" s="6"/>
    </row>
    <row r="767">
      <c r="G767" s="6"/>
    </row>
    <row r="768">
      <c r="G768" s="6"/>
    </row>
    <row r="769">
      <c r="G769" s="6"/>
    </row>
    <row r="770">
      <c r="G770" s="6"/>
    </row>
    <row r="771">
      <c r="G771" s="6"/>
    </row>
    <row r="772">
      <c r="G772" s="6"/>
    </row>
    <row r="773">
      <c r="G773" s="6"/>
    </row>
    <row r="774">
      <c r="G774" s="6"/>
    </row>
    <row r="775">
      <c r="G775" s="6"/>
    </row>
    <row r="776">
      <c r="G776" s="6"/>
    </row>
    <row r="777">
      <c r="G777" s="6"/>
    </row>
    <row r="778">
      <c r="G778" s="6"/>
    </row>
    <row r="779">
      <c r="G779" s="6"/>
    </row>
    <row r="780">
      <c r="G780" s="6"/>
    </row>
    <row r="781">
      <c r="G781" s="6"/>
    </row>
    <row r="782">
      <c r="G782" s="6"/>
    </row>
    <row r="783">
      <c r="G783" s="6"/>
    </row>
    <row r="784">
      <c r="G784" s="6"/>
    </row>
    <row r="785">
      <c r="G785" s="6"/>
    </row>
    <row r="786">
      <c r="G786" s="6"/>
    </row>
    <row r="787">
      <c r="G787" s="6"/>
    </row>
    <row r="788">
      <c r="G788" s="6"/>
    </row>
    <row r="789">
      <c r="G789" s="6"/>
    </row>
    <row r="790">
      <c r="G790" s="6"/>
    </row>
    <row r="791">
      <c r="G791" s="6"/>
    </row>
    <row r="792">
      <c r="G792" s="6"/>
    </row>
    <row r="793">
      <c r="G793" s="6"/>
    </row>
    <row r="794">
      <c r="G794" s="6"/>
    </row>
    <row r="795">
      <c r="G795" s="6"/>
    </row>
    <row r="796">
      <c r="G796" s="6"/>
    </row>
    <row r="797">
      <c r="G797" s="6"/>
    </row>
    <row r="798">
      <c r="G798" s="6"/>
    </row>
    <row r="799">
      <c r="G799" s="6"/>
    </row>
    <row r="800">
      <c r="G800" s="6"/>
    </row>
    <row r="801">
      <c r="G801" s="6"/>
    </row>
    <row r="802">
      <c r="G802" s="6"/>
    </row>
    <row r="803">
      <c r="G803" s="6"/>
    </row>
    <row r="804">
      <c r="G804" s="6"/>
    </row>
    <row r="805">
      <c r="G805" s="6"/>
    </row>
    <row r="806">
      <c r="G806" s="6"/>
    </row>
    <row r="807">
      <c r="G807" s="6"/>
    </row>
    <row r="808">
      <c r="G808" s="6"/>
    </row>
    <row r="809">
      <c r="G809" s="6"/>
    </row>
    <row r="810">
      <c r="G810" s="6"/>
    </row>
    <row r="811">
      <c r="G811" s="6"/>
    </row>
    <row r="812">
      <c r="G812" s="6"/>
    </row>
    <row r="813">
      <c r="G813" s="6"/>
    </row>
    <row r="814">
      <c r="G814" s="6"/>
    </row>
    <row r="815">
      <c r="G815" s="6"/>
    </row>
    <row r="816">
      <c r="G816" s="6"/>
    </row>
    <row r="817">
      <c r="G817" s="6"/>
    </row>
    <row r="818">
      <c r="G818" s="6"/>
    </row>
    <row r="819">
      <c r="G819" s="6"/>
    </row>
    <row r="820">
      <c r="G820" s="6"/>
    </row>
    <row r="821">
      <c r="G821" s="6"/>
    </row>
    <row r="822">
      <c r="G822" s="6"/>
    </row>
    <row r="823">
      <c r="G823" s="6"/>
    </row>
    <row r="824">
      <c r="G824" s="6"/>
    </row>
    <row r="825">
      <c r="G825" s="6"/>
    </row>
    <row r="826">
      <c r="G826" s="6"/>
    </row>
    <row r="827">
      <c r="G827" s="6"/>
    </row>
    <row r="828">
      <c r="G828" s="6"/>
    </row>
    <row r="829">
      <c r="G829" s="6"/>
    </row>
    <row r="830">
      <c r="G830" s="6"/>
    </row>
    <row r="831">
      <c r="G831" s="6"/>
    </row>
    <row r="832">
      <c r="G832" s="6"/>
    </row>
    <row r="833">
      <c r="G833" s="6"/>
    </row>
    <row r="834">
      <c r="G834" s="6"/>
    </row>
    <row r="835">
      <c r="G835" s="6"/>
    </row>
    <row r="836">
      <c r="G836" s="6"/>
    </row>
    <row r="837">
      <c r="G837" s="6"/>
    </row>
    <row r="838">
      <c r="G838" s="6"/>
    </row>
    <row r="839">
      <c r="G839" s="6"/>
    </row>
    <row r="840">
      <c r="G840" s="6"/>
    </row>
    <row r="841">
      <c r="G841" s="6"/>
    </row>
    <row r="842">
      <c r="G842" s="6"/>
    </row>
    <row r="843">
      <c r="G843" s="6"/>
    </row>
    <row r="844">
      <c r="G844" s="6"/>
    </row>
    <row r="845">
      <c r="G845" s="6"/>
    </row>
    <row r="846">
      <c r="G846" s="6"/>
    </row>
    <row r="847">
      <c r="G847" s="6"/>
    </row>
    <row r="848">
      <c r="G848" s="6"/>
    </row>
    <row r="849">
      <c r="G849" s="6"/>
    </row>
    <row r="850">
      <c r="G850" s="6"/>
    </row>
    <row r="851">
      <c r="G851" s="6"/>
    </row>
    <row r="852">
      <c r="G852" s="6"/>
    </row>
    <row r="853">
      <c r="G853" s="6"/>
    </row>
    <row r="854">
      <c r="G854" s="6"/>
    </row>
    <row r="855">
      <c r="G855" s="6"/>
    </row>
    <row r="856">
      <c r="G856" s="6"/>
    </row>
    <row r="857">
      <c r="G857" s="6"/>
    </row>
    <row r="858">
      <c r="G858" s="6"/>
    </row>
    <row r="859">
      <c r="G859" s="6"/>
    </row>
    <row r="860">
      <c r="G860" s="6"/>
    </row>
    <row r="861">
      <c r="G861" s="6"/>
    </row>
    <row r="862">
      <c r="G862" s="6"/>
    </row>
    <row r="863">
      <c r="G863" s="6"/>
    </row>
    <row r="864">
      <c r="G864" s="6"/>
    </row>
    <row r="865">
      <c r="G865" s="6"/>
    </row>
    <row r="866">
      <c r="G866" s="6"/>
    </row>
    <row r="867">
      <c r="G867" s="6"/>
    </row>
    <row r="868">
      <c r="G868" s="6"/>
    </row>
    <row r="869">
      <c r="G869" s="6"/>
    </row>
    <row r="870">
      <c r="G870" s="6"/>
    </row>
    <row r="871">
      <c r="G871" s="6"/>
    </row>
    <row r="872">
      <c r="G872" s="6"/>
    </row>
    <row r="873">
      <c r="G873" s="6"/>
    </row>
    <row r="874">
      <c r="G874" s="6"/>
    </row>
    <row r="875">
      <c r="G875" s="6"/>
    </row>
    <row r="876">
      <c r="G876" s="6"/>
    </row>
    <row r="877">
      <c r="G877" s="6"/>
    </row>
    <row r="878">
      <c r="G878" s="6"/>
    </row>
    <row r="879">
      <c r="G879" s="6"/>
    </row>
    <row r="880">
      <c r="G880" s="6"/>
    </row>
    <row r="881">
      <c r="G881" s="6"/>
    </row>
    <row r="882">
      <c r="G882" s="6"/>
    </row>
    <row r="883">
      <c r="G883" s="6"/>
    </row>
    <row r="884">
      <c r="G884" s="6"/>
    </row>
    <row r="885">
      <c r="G885" s="6"/>
    </row>
    <row r="886">
      <c r="G886" s="6"/>
    </row>
    <row r="887">
      <c r="G887" s="6"/>
    </row>
    <row r="888">
      <c r="G888" s="6"/>
    </row>
    <row r="889">
      <c r="G889" s="6"/>
    </row>
    <row r="890">
      <c r="G890" s="6"/>
    </row>
    <row r="891">
      <c r="G891" s="6"/>
    </row>
    <row r="892">
      <c r="G892" s="6"/>
    </row>
    <row r="893">
      <c r="G893" s="6"/>
    </row>
    <row r="894">
      <c r="G894" s="6"/>
    </row>
    <row r="895">
      <c r="G895" s="6"/>
    </row>
    <row r="896">
      <c r="G896" s="6"/>
    </row>
    <row r="897">
      <c r="G897" s="6"/>
    </row>
    <row r="898">
      <c r="G898" s="6"/>
    </row>
    <row r="899">
      <c r="G899" s="6"/>
    </row>
    <row r="900">
      <c r="G900" s="6"/>
    </row>
    <row r="901">
      <c r="G901" s="6"/>
    </row>
    <row r="902">
      <c r="G902" s="6"/>
    </row>
    <row r="903">
      <c r="G903" s="6"/>
    </row>
    <row r="904">
      <c r="G904" s="6"/>
    </row>
    <row r="905">
      <c r="G905" s="6"/>
    </row>
    <row r="906">
      <c r="G906" s="6"/>
    </row>
    <row r="907">
      <c r="G907" s="6"/>
    </row>
    <row r="908">
      <c r="G908" s="6"/>
    </row>
    <row r="909">
      <c r="G909" s="6"/>
    </row>
    <row r="910">
      <c r="G910" s="6"/>
    </row>
    <row r="911">
      <c r="G911" s="6"/>
    </row>
    <row r="912">
      <c r="G912" s="6"/>
    </row>
    <row r="913">
      <c r="G913" s="6"/>
    </row>
    <row r="914">
      <c r="G914" s="6"/>
    </row>
    <row r="915">
      <c r="G915" s="6"/>
    </row>
    <row r="916">
      <c r="G916" s="6"/>
    </row>
    <row r="917">
      <c r="G917" s="6"/>
    </row>
    <row r="918">
      <c r="G918" s="6"/>
    </row>
    <row r="919">
      <c r="G919" s="6"/>
    </row>
    <row r="920">
      <c r="G920" s="6"/>
    </row>
    <row r="921">
      <c r="G921" s="6"/>
    </row>
    <row r="922">
      <c r="G922" s="6"/>
    </row>
    <row r="923">
      <c r="G923" s="6"/>
    </row>
    <row r="924">
      <c r="G924" s="6"/>
    </row>
    <row r="925">
      <c r="G925" s="6"/>
    </row>
    <row r="926">
      <c r="G926" s="6"/>
    </row>
    <row r="927">
      <c r="G927" s="6"/>
    </row>
    <row r="928">
      <c r="G928" s="6"/>
    </row>
    <row r="929">
      <c r="G929" s="6"/>
    </row>
    <row r="930">
      <c r="G930" s="6"/>
    </row>
    <row r="931">
      <c r="G931" s="6"/>
    </row>
    <row r="932">
      <c r="G932" s="6"/>
    </row>
    <row r="933">
      <c r="G933" s="6"/>
    </row>
    <row r="934">
      <c r="G934" s="6"/>
    </row>
    <row r="935">
      <c r="G935" s="6"/>
    </row>
    <row r="936">
      <c r="G936" s="6"/>
    </row>
    <row r="937">
      <c r="G937" s="6"/>
    </row>
    <row r="938">
      <c r="G938" s="6"/>
    </row>
    <row r="939">
      <c r="G939" s="6"/>
    </row>
    <row r="940">
      <c r="G940" s="6"/>
    </row>
    <row r="941">
      <c r="G941" s="6"/>
    </row>
    <row r="942">
      <c r="G942" s="6"/>
    </row>
    <row r="943">
      <c r="G943" s="6"/>
    </row>
    <row r="944">
      <c r="G944" s="6"/>
    </row>
    <row r="945">
      <c r="G945" s="6"/>
    </row>
    <row r="946">
      <c r="G946" s="6"/>
    </row>
    <row r="947">
      <c r="G947" s="6"/>
    </row>
    <row r="948">
      <c r="G948" s="6"/>
    </row>
    <row r="949">
      <c r="G949" s="6"/>
    </row>
    <row r="950">
      <c r="G950" s="6"/>
    </row>
    <row r="951">
      <c r="G951" s="6"/>
    </row>
    <row r="952">
      <c r="G952" s="6"/>
    </row>
    <row r="953">
      <c r="G953" s="6"/>
    </row>
    <row r="954">
      <c r="G954" s="6"/>
    </row>
    <row r="955">
      <c r="G955" s="6"/>
    </row>
    <row r="956">
      <c r="G956" s="6"/>
    </row>
    <row r="957">
      <c r="G957" s="6"/>
    </row>
    <row r="958">
      <c r="G958" s="6"/>
    </row>
    <row r="959">
      <c r="G959" s="6"/>
    </row>
    <row r="960">
      <c r="G960" s="6"/>
    </row>
    <row r="961">
      <c r="G961" s="6"/>
    </row>
    <row r="962">
      <c r="G962" s="6"/>
    </row>
    <row r="963">
      <c r="G963" s="6"/>
    </row>
    <row r="964">
      <c r="G964" s="6"/>
    </row>
    <row r="965">
      <c r="G965" s="6"/>
    </row>
    <row r="966">
      <c r="G966" s="6"/>
    </row>
    <row r="967">
      <c r="G967" s="6"/>
    </row>
    <row r="968">
      <c r="G968" s="6"/>
    </row>
    <row r="969">
      <c r="G969" s="6"/>
    </row>
    <row r="970">
      <c r="G970" s="6"/>
    </row>
    <row r="971">
      <c r="G971" s="6"/>
    </row>
    <row r="972">
      <c r="G972" s="6"/>
    </row>
    <row r="973">
      <c r="G973" s="6"/>
    </row>
    <row r="974">
      <c r="G974" s="6"/>
    </row>
    <row r="975">
      <c r="G975" s="6"/>
    </row>
    <row r="976">
      <c r="G976" s="6"/>
    </row>
    <row r="977">
      <c r="G977" s="6"/>
    </row>
    <row r="978">
      <c r="G978" s="6"/>
    </row>
    <row r="979">
      <c r="G979" s="6"/>
    </row>
    <row r="980">
      <c r="G980" s="6"/>
    </row>
    <row r="981">
      <c r="G981" s="6"/>
    </row>
    <row r="982">
      <c r="G982" s="6"/>
    </row>
    <row r="983">
      <c r="G983" s="6"/>
    </row>
    <row r="984">
      <c r="G984" s="6"/>
    </row>
    <row r="985">
      <c r="G985" s="6"/>
    </row>
    <row r="986">
      <c r="G986" s="6"/>
    </row>
    <row r="987">
      <c r="G987" s="6"/>
    </row>
    <row r="988">
      <c r="G988" s="6"/>
    </row>
    <row r="989">
      <c r="G989" s="6"/>
    </row>
    <row r="990">
      <c r="G990" s="6"/>
    </row>
    <row r="991">
      <c r="G991" s="6"/>
    </row>
    <row r="992">
      <c r="G992" s="6"/>
    </row>
    <row r="993">
      <c r="G993" s="6"/>
    </row>
    <row r="994">
      <c r="G994" s="6"/>
    </row>
    <row r="995">
      <c r="G995" s="6"/>
    </row>
    <row r="996">
      <c r="G996" s="6"/>
    </row>
    <row r="997">
      <c r="G997" s="6"/>
    </row>
    <row r="998">
      <c r="G998" s="6"/>
    </row>
    <row r="999">
      <c r="G999" s="6"/>
    </row>
    <row r="1000">
      <c r="G1000" s="6"/>
    </row>
  </sheetData>
  <autoFilter ref="$A$1:$M$111">
    <filterColumn colId="5">
      <filters blank="1">
        <filter val="Press Release"/>
        <filter val="Accord"/>
        <filter val="Summary"/>
      </filters>
    </filterColumn>
  </autoFilter>
  <dataValidations>
    <dataValidation type="list" allowBlank="1" sqref="F2:F12 F13:G14 F15 F16:G16 F17:F28 F29:G30 F31:F33 F34:G34 F35:F49 F50:G50 F51:F62 F63:G63 F64:F72 F73:G73 F74:F79 F80:G81 F82:F86 F87:G88 F89:F103 F104:G104 F105:F111 G112:G1000">
      <formula1>'_document type values'!$A:$A</formula1>
    </dataValidation>
  </dataValidations>
  <hyperlinks>
    <hyperlink r:id="rId1" ref="K2"/>
    <hyperlink r:id="rId2" ref="K3"/>
    <hyperlink r:id="rId3" ref="K4"/>
    <hyperlink r:id="rId4" ref="K5"/>
    <hyperlink r:id="rId5" ref="K6"/>
    <hyperlink r:id="rId6" ref="K7"/>
    <hyperlink r:id="rId7" ref="K8"/>
    <hyperlink r:id="rId8" ref="K9"/>
    <hyperlink r:id="rId9" ref="K10"/>
    <hyperlink r:id="rId10" ref="K11"/>
    <hyperlink r:id="rId11" ref="K12"/>
    <hyperlink r:id="rId12" ref="K13"/>
    <hyperlink r:id="rId13" ref="K14"/>
    <hyperlink r:id="rId14" ref="K15"/>
    <hyperlink r:id="rId15" ref="K16"/>
    <hyperlink r:id="rId16" ref="K17"/>
    <hyperlink r:id="rId17" ref="K18"/>
    <hyperlink r:id="rId18" ref="K19"/>
    <hyperlink r:id="rId19" ref="K20"/>
    <hyperlink r:id="rId20" location="LMS143384|en" ref="J21"/>
    <hyperlink r:id="rId21" location="LMS143384" ref="K21"/>
    <hyperlink r:id="rId22" ref="K22"/>
    <hyperlink r:id="rId23" ref="J23"/>
    <hyperlink r:id="rId24" ref="K23"/>
    <hyperlink r:id="rId25" ref="K24"/>
    <hyperlink r:id="rId26" ref="K25"/>
    <hyperlink r:id="rId27" ref="K26"/>
    <hyperlink r:id="rId28" ref="K27"/>
    <hyperlink r:id="rId29" ref="K28"/>
    <hyperlink r:id="rId30" ref="K29"/>
    <hyperlink r:id="rId31" ref="K30"/>
    <hyperlink r:id="rId32" ref="K31"/>
    <hyperlink r:id="rId33" ref="K32"/>
    <hyperlink r:id="rId34" ref="K33"/>
    <hyperlink r:id="rId35" ref="K34"/>
    <hyperlink r:id="rId36" ref="K35"/>
    <hyperlink r:id="rId37" ref="K36"/>
    <hyperlink r:id="rId38" ref="K37"/>
    <hyperlink r:id="rId39" ref="K38"/>
    <hyperlink r:id="rId40" ref="K39"/>
    <hyperlink r:id="rId41" ref="K40"/>
    <hyperlink r:id="rId42" ref="K41"/>
    <hyperlink r:id="rId43" ref="K42"/>
    <hyperlink r:id="rId44" ref="K43"/>
    <hyperlink r:id="rId45" ref="K44"/>
    <hyperlink r:id="rId46" ref="K45"/>
    <hyperlink r:id="rId47" ref="K46"/>
    <hyperlink r:id="rId48" ref="K47"/>
    <hyperlink r:id="rId49" ref="K48"/>
    <hyperlink r:id="rId50" ref="K49"/>
    <hyperlink r:id="rId51" ref="K50"/>
    <hyperlink r:id="rId52" ref="K51"/>
    <hyperlink r:id="rId53" ref="K52"/>
    <hyperlink r:id="rId54" ref="K53"/>
    <hyperlink r:id="rId55" ref="K54"/>
    <hyperlink r:id="rId56" ref="K55"/>
    <hyperlink r:id="rId57" ref="K56"/>
    <hyperlink r:id="rId58" ref="K57"/>
    <hyperlink r:id="rId59" ref="K58"/>
    <hyperlink r:id="rId60" ref="K59"/>
    <hyperlink r:id="rId61" ref="K60"/>
    <hyperlink r:id="rId62" ref="K61"/>
    <hyperlink r:id="rId63" ref="K62"/>
    <hyperlink r:id="rId64" ref="K63"/>
    <hyperlink r:id="rId65" ref="K64"/>
    <hyperlink r:id="rId66" ref="K65"/>
    <hyperlink r:id="rId67" ref="K66"/>
    <hyperlink r:id="rId68" ref="K67"/>
    <hyperlink r:id="rId69" ref="K68"/>
    <hyperlink r:id="rId70" ref="K69"/>
    <hyperlink r:id="rId71" ref="K70"/>
    <hyperlink r:id="rId72" ref="K71"/>
    <hyperlink r:id="rId73" ref="K72"/>
    <hyperlink r:id="rId74" ref="K73"/>
    <hyperlink r:id="rId75" ref="K74"/>
    <hyperlink r:id="rId76" ref="K75"/>
    <hyperlink r:id="rId77" ref="K76"/>
    <hyperlink r:id="rId78" ref="K77"/>
    <hyperlink r:id="rId79" ref="K78"/>
    <hyperlink r:id="rId80" ref="K79"/>
    <hyperlink r:id="rId81" ref="K80"/>
    <hyperlink r:id="rId82" ref="K81"/>
    <hyperlink r:id="rId83" ref="K82"/>
    <hyperlink r:id="rId84" ref="K83"/>
    <hyperlink r:id="rId85" ref="K84"/>
    <hyperlink r:id="rId86" ref="K85"/>
    <hyperlink r:id="rId87" ref="K86"/>
    <hyperlink r:id="rId88" ref="J87"/>
    <hyperlink r:id="rId89" ref="K87"/>
    <hyperlink r:id="rId90" ref="J88"/>
    <hyperlink r:id="rId91" ref="K88"/>
    <hyperlink r:id="rId92" ref="K89"/>
    <hyperlink r:id="rId93" ref="K90"/>
    <hyperlink r:id="rId94" ref="K91"/>
    <hyperlink r:id="rId95" ref="K92"/>
    <hyperlink r:id="rId96" ref="K93"/>
    <hyperlink r:id="rId97" ref="K94"/>
    <hyperlink r:id="rId98" ref="K95"/>
    <hyperlink r:id="rId99" ref="K96"/>
    <hyperlink r:id="rId100" ref="K97"/>
    <hyperlink r:id="rId101" ref="K98"/>
    <hyperlink r:id="rId102" ref="J99"/>
    <hyperlink r:id="rId103" ref="K99"/>
    <hyperlink r:id="rId104" ref="K100"/>
    <hyperlink r:id="rId105" ref="J101"/>
    <hyperlink r:id="rId106" ref="K101"/>
    <hyperlink r:id="rId107" ref="K102"/>
    <hyperlink r:id="rId108" ref="J103"/>
    <hyperlink r:id="rId109" ref="K103"/>
    <hyperlink r:id="rId110" ref="K104"/>
    <hyperlink r:id="rId111" ref="K105"/>
    <hyperlink r:id="rId112" ref="K106"/>
    <hyperlink r:id="rId113" ref="K107"/>
    <hyperlink r:id="rId114" ref="J108"/>
    <hyperlink r:id="rId115" ref="K108"/>
    <hyperlink r:id="rId116" ref="J109"/>
    <hyperlink r:id="rId117" ref="K109"/>
    <hyperlink r:id="rId118" ref="K110"/>
    <hyperlink r:id="rId119" ref="K111"/>
  </hyperlinks>
  <drawing r:id="rId120"/>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customWidth="1" min="9" max="9" width="22.25"/>
    <col customWidth="1" min="13" max="13" width="54.63"/>
    <col customWidth="1" min="14" max="14" width="13.88"/>
    <col customWidth="1" min="15" max="15" width="13.63"/>
    <col customWidth="1" min="16" max="16" width="185.75"/>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26" t="s">
        <v>8</v>
      </c>
      <c r="P1" s="26" t="s">
        <v>9</v>
      </c>
      <c r="Q1" s="27"/>
      <c r="R1" s="27"/>
      <c r="S1" s="27"/>
      <c r="T1" s="27"/>
      <c r="U1" s="27"/>
      <c r="V1" s="27"/>
      <c r="W1" s="27"/>
      <c r="X1" s="27"/>
      <c r="Y1" s="27"/>
      <c r="Z1" s="27"/>
      <c r="AA1" s="27"/>
      <c r="AB1" s="27"/>
    </row>
    <row r="2">
      <c r="A2" s="28">
        <v>1497.0</v>
      </c>
      <c r="B2" s="29" t="s">
        <v>3502</v>
      </c>
      <c r="C2" s="29" t="s">
        <v>432</v>
      </c>
      <c r="D2" s="29" t="s">
        <v>3150</v>
      </c>
      <c r="E2" s="29" t="s">
        <v>3151</v>
      </c>
      <c r="F2" s="29" t="s">
        <v>433</v>
      </c>
      <c r="G2" s="29" t="s">
        <v>433</v>
      </c>
      <c r="H2" s="29" t="s">
        <v>434</v>
      </c>
      <c r="I2" s="29" t="s">
        <v>407</v>
      </c>
      <c r="J2" s="29" t="s">
        <v>3503</v>
      </c>
      <c r="K2" s="29" t="s">
        <v>3504</v>
      </c>
      <c r="L2" s="29" t="s">
        <v>1736</v>
      </c>
      <c r="M2" s="29" t="s">
        <v>3505</v>
      </c>
      <c r="N2" s="29"/>
      <c r="O2" s="29"/>
      <c r="P2" s="29" t="s">
        <v>3506</v>
      </c>
    </row>
    <row r="3">
      <c r="A3" s="28">
        <v>1499.0</v>
      </c>
      <c r="B3" s="29" t="s">
        <v>3507</v>
      </c>
      <c r="C3" s="29" t="s">
        <v>432</v>
      </c>
      <c r="D3" s="29" t="s">
        <v>3150</v>
      </c>
      <c r="E3" s="29" t="s">
        <v>3151</v>
      </c>
      <c r="F3" s="30"/>
      <c r="G3" s="29" t="s">
        <v>441</v>
      </c>
      <c r="H3" s="29" t="s">
        <v>434</v>
      </c>
      <c r="I3" s="29" t="s">
        <v>407</v>
      </c>
      <c r="J3" s="30"/>
      <c r="K3" s="29" t="s">
        <v>3508</v>
      </c>
      <c r="L3" s="29" t="s">
        <v>593</v>
      </c>
      <c r="M3" s="29" t="s">
        <v>3509</v>
      </c>
      <c r="N3" s="29"/>
      <c r="O3" s="29"/>
      <c r="P3" s="29" t="s">
        <v>3510</v>
      </c>
    </row>
    <row r="4">
      <c r="A4" s="28">
        <v>1505.0</v>
      </c>
      <c r="B4" s="29" t="s">
        <v>3511</v>
      </c>
      <c r="C4" s="29" t="s">
        <v>449</v>
      </c>
      <c r="D4" s="29" t="s">
        <v>3150</v>
      </c>
      <c r="E4" s="29" t="s">
        <v>3151</v>
      </c>
      <c r="F4" s="30"/>
      <c r="G4" s="29" t="s">
        <v>441</v>
      </c>
      <c r="H4" s="29" t="s">
        <v>434</v>
      </c>
      <c r="I4" s="29" t="s">
        <v>41</v>
      </c>
      <c r="J4" s="30"/>
      <c r="K4" s="29" t="s">
        <v>3512</v>
      </c>
      <c r="L4" s="29" t="s">
        <v>3513</v>
      </c>
      <c r="M4" s="29" t="s">
        <v>3514</v>
      </c>
      <c r="N4" s="29"/>
      <c r="O4" s="29"/>
      <c r="P4" s="29" t="s">
        <v>3515</v>
      </c>
    </row>
    <row r="5">
      <c r="A5" s="28">
        <v>1506.0</v>
      </c>
      <c r="B5" s="29" t="s">
        <v>3516</v>
      </c>
      <c r="C5" s="29" t="s">
        <v>449</v>
      </c>
      <c r="D5" s="29" t="s">
        <v>3150</v>
      </c>
      <c r="E5" s="29" t="s">
        <v>3151</v>
      </c>
      <c r="F5" s="30"/>
      <c r="G5" s="29" t="s">
        <v>441</v>
      </c>
      <c r="H5" s="30"/>
      <c r="I5" s="29" t="s">
        <v>41</v>
      </c>
      <c r="J5" s="30"/>
      <c r="K5" s="29" t="s">
        <v>643</v>
      </c>
      <c r="L5" s="29" t="s">
        <v>1189</v>
      </c>
      <c r="M5" s="29" t="s">
        <v>3517</v>
      </c>
      <c r="N5" s="29"/>
      <c r="O5" s="29"/>
      <c r="P5" s="29" t="s">
        <v>3518</v>
      </c>
    </row>
    <row r="6">
      <c r="A6" s="28">
        <v>9367.0</v>
      </c>
      <c r="B6" s="29" t="s">
        <v>3180</v>
      </c>
      <c r="C6" s="29" t="s">
        <v>449</v>
      </c>
      <c r="D6" s="29" t="s">
        <v>3150</v>
      </c>
      <c r="E6" s="29" t="s">
        <v>3151</v>
      </c>
      <c r="F6" s="29" t="s">
        <v>441</v>
      </c>
      <c r="G6" s="29" t="s">
        <v>441</v>
      </c>
      <c r="H6" s="29" t="s">
        <v>2501</v>
      </c>
      <c r="I6" s="29" t="s">
        <v>45</v>
      </c>
      <c r="J6" s="30"/>
      <c r="K6" s="29" t="s">
        <v>3519</v>
      </c>
      <c r="L6" s="29" t="s">
        <v>1159</v>
      </c>
      <c r="M6" s="29" t="s">
        <v>3520</v>
      </c>
      <c r="N6" s="29"/>
      <c r="O6" s="29"/>
      <c r="P6" s="29" t="s">
        <v>3521</v>
      </c>
    </row>
    <row r="7">
      <c r="A7" s="28">
        <v>9368.0</v>
      </c>
      <c r="B7" s="29" t="s">
        <v>3522</v>
      </c>
      <c r="C7" s="29" t="s">
        <v>432</v>
      </c>
      <c r="D7" s="29" t="s">
        <v>3150</v>
      </c>
      <c r="E7" s="29" t="s">
        <v>3151</v>
      </c>
      <c r="F7" s="30"/>
      <c r="G7" s="29" t="s">
        <v>441</v>
      </c>
      <c r="H7" s="29" t="s">
        <v>3523</v>
      </c>
      <c r="I7" s="29" t="s">
        <v>3524</v>
      </c>
      <c r="J7" s="30"/>
      <c r="K7" s="29" t="s">
        <v>1141</v>
      </c>
      <c r="L7" s="29" t="s">
        <v>489</v>
      </c>
      <c r="M7" s="29" t="s">
        <v>3525</v>
      </c>
      <c r="N7" s="29"/>
      <c r="O7" s="29"/>
      <c r="P7" s="29" t="s">
        <v>3526</v>
      </c>
    </row>
    <row r="8">
      <c r="A8" s="28">
        <v>9455.0</v>
      </c>
      <c r="B8" s="29" t="s">
        <v>3527</v>
      </c>
      <c r="C8" s="29" t="s">
        <v>432</v>
      </c>
      <c r="D8" s="29" t="s">
        <v>3150</v>
      </c>
      <c r="E8" s="29" t="s">
        <v>3151</v>
      </c>
      <c r="F8" s="30"/>
      <c r="G8" s="29" t="s">
        <v>441</v>
      </c>
      <c r="H8" s="29" t="s">
        <v>3528</v>
      </c>
      <c r="I8" s="30"/>
      <c r="J8" s="30"/>
      <c r="K8" s="29" t="s">
        <v>620</v>
      </c>
      <c r="L8" s="29" t="s">
        <v>621</v>
      </c>
      <c r="M8" s="29" t="s">
        <v>3529</v>
      </c>
      <c r="N8" s="29"/>
      <c r="O8" s="29"/>
      <c r="P8" s="29" t="s">
        <v>3530</v>
      </c>
    </row>
    <row r="9">
      <c r="A9" s="28">
        <v>9511.0</v>
      </c>
      <c r="B9" s="29" t="s">
        <v>3531</v>
      </c>
      <c r="C9" s="29" t="s">
        <v>432</v>
      </c>
      <c r="D9" s="29" t="s">
        <v>3150</v>
      </c>
      <c r="E9" s="29" t="s">
        <v>3151</v>
      </c>
      <c r="F9" s="30"/>
      <c r="G9" s="29" t="s">
        <v>433</v>
      </c>
      <c r="H9" s="29" t="s">
        <v>1826</v>
      </c>
      <c r="I9" s="29" t="s">
        <v>234</v>
      </c>
      <c r="J9" s="29" t="s">
        <v>3532</v>
      </c>
      <c r="K9" s="29" t="s">
        <v>3533</v>
      </c>
      <c r="L9" s="29" t="s">
        <v>3534</v>
      </c>
      <c r="M9" s="29" t="s">
        <v>3535</v>
      </c>
      <c r="N9" s="29"/>
      <c r="O9" s="29"/>
      <c r="P9" s="29" t="s">
        <v>3536</v>
      </c>
    </row>
    <row r="10">
      <c r="A10" s="28">
        <v>1513.0</v>
      </c>
      <c r="B10" s="29" t="s">
        <v>3537</v>
      </c>
      <c r="C10" s="29" t="s">
        <v>449</v>
      </c>
      <c r="D10" s="29" t="s">
        <v>3207</v>
      </c>
      <c r="E10" s="29" t="s">
        <v>3208</v>
      </c>
      <c r="F10" s="29" t="s">
        <v>441</v>
      </c>
      <c r="G10" s="29" t="s">
        <v>433</v>
      </c>
      <c r="H10" s="29" t="s">
        <v>3538</v>
      </c>
      <c r="I10" s="29" t="s">
        <v>41</v>
      </c>
      <c r="J10" s="30"/>
      <c r="K10" s="29" t="s">
        <v>3539</v>
      </c>
      <c r="L10" s="29" t="s">
        <v>3540</v>
      </c>
      <c r="M10" s="29" t="s">
        <v>3541</v>
      </c>
      <c r="N10" s="29"/>
      <c r="O10" s="29"/>
      <c r="P10" s="29" t="s">
        <v>3542</v>
      </c>
    </row>
    <row r="11">
      <c r="A11" s="28">
        <v>4972.0</v>
      </c>
      <c r="B11" s="29" t="s">
        <v>3543</v>
      </c>
      <c r="C11" s="29" t="s">
        <v>449</v>
      </c>
      <c r="D11" s="29" t="s">
        <v>3219</v>
      </c>
      <c r="E11" s="29" t="s">
        <v>3220</v>
      </c>
      <c r="F11" s="30"/>
      <c r="G11" s="29" t="s">
        <v>441</v>
      </c>
      <c r="H11" s="29" t="s">
        <v>1157</v>
      </c>
      <c r="I11" s="29" t="s">
        <v>41</v>
      </c>
      <c r="J11" s="30"/>
      <c r="K11" s="29" t="s">
        <v>537</v>
      </c>
      <c r="L11" s="29" t="s">
        <v>489</v>
      </c>
      <c r="M11" s="29" t="s">
        <v>3544</v>
      </c>
      <c r="N11" s="29"/>
      <c r="O11" s="29"/>
      <c r="P11" s="29" t="s">
        <v>3545</v>
      </c>
    </row>
    <row r="12">
      <c r="A12" s="28">
        <v>9396.0</v>
      </c>
      <c r="B12" s="29" t="s">
        <v>3546</v>
      </c>
      <c r="C12" s="29" t="s">
        <v>432</v>
      </c>
      <c r="D12" s="29" t="s">
        <v>3219</v>
      </c>
      <c r="E12" s="29" t="s">
        <v>3220</v>
      </c>
      <c r="F12" s="30"/>
      <c r="G12" s="29" t="s">
        <v>441</v>
      </c>
      <c r="H12" s="29" t="s">
        <v>434</v>
      </c>
      <c r="I12" s="29" t="s">
        <v>3524</v>
      </c>
      <c r="J12" s="30"/>
      <c r="K12" s="29" t="s">
        <v>537</v>
      </c>
      <c r="L12" s="29" t="s">
        <v>489</v>
      </c>
      <c r="M12" s="29" t="s">
        <v>3547</v>
      </c>
      <c r="N12" s="29"/>
      <c r="O12" s="29"/>
      <c r="P12" s="29" t="s">
        <v>3548</v>
      </c>
    </row>
    <row r="13">
      <c r="A13" s="28">
        <v>9488.0</v>
      </c>
      <c r="B13" s="29" t="s">
        <v>3549</v>
      </c>
      <c r="C13" s="29" t="s">
        <v>432</v>
      </c>
      <c r="D13" s="29" t="s">
        <v>3236</v>
      </c>
      <c r="E13" s="29" t="s">
        <v>3237</v>
      </c>
      <c r="F13" s="30"/>
      <c r="G13" s="29" t="s">
        <v>441</v>
      </c>
      <c r="H13" s="29" t="s">
        <v>519</v>
      </c>
      <c r="I13" s="29" t="s">
        <v>234</v>
      </c>
      <c r="J13" s="30"/>
      <c r="K13" s="29" t="s">
        <v>3550</v>
      </c>
      <c r="L13" s="29" t="s">
        <v>489</v>
      </c>
      <c r="M13" s="29" t="s">
        <v>3551</v>
      </c>
      <c r="N13" s="29"/>
      <c r="O13" s="29"/>
      <c r="P13" s="29" t="s">
        <v>3552</v>
      </c>
    </row>
    <row r="14">
      <c r="A14" s="28">
        <v>1518.0</v>
      </c>
      <c r="B14" s="29" t="s">
        <v>3553</v>
      </c>
      <c r="C14" s="29" t="s">
        <v>432</v>
      </c>
      <c r="D14" s="29" t="s">
        <v>3245</v>
      </c>
      <c r="E14" s="29" t="s">
        <v>3246</v>
      </c>
      <c r="F14" s="29" t="s">
        <v>450</v>
      </c>
      <c r="G14" s="29" t="s">
        <v>450</v>
      </c>
      <c r="H14" s="29" t="s">
        <v>3554</v>
      </c>
      <c r="I14" s="29" t="s">
        <v>407</v>
      </c>
      <c r="J14" s="29" t="s">
        <v>3555</v>
      </c>
      <c r="K14" s="29" t="s">
        <v>450</v>
      </c>
      <c r="L14" s="29" t="s">
        <v>1747</v>
      </c>
      <c r="M14" s="29" t="s">
        <v>2360</v>
      </c>
      <c r="N14" s="29"/>
      <c r="O14" s="29"/>
      <c r="P14" s="29" t="s">
        <v>3556</v>
      </c>
    </row>
    <row r="15">
      <c r="A15" s="28">
        <v>1520.0</v>
      </c>
      <c r="B15" s="29" t="s">
        <v>3557</v>
      </c>
      <c r="C15" s="29" t="s">
        <v>449</v>
      </c>
      <c r="D15" s="29" t="s">
        <v>3245</v>
      </c>
      <c r="E15" s="29" t="s">
        <v>3246</v>
      </c>
      <c r="F15" s="30"/>
      <c r="G15" s="29" t="s">
        <v>441</v>
      </c>
      <c r="H15" s="29" t="s">
        <v>3558</v>
      </c>
      <c r="I15" s="29" t="s">
        <v>41</v>
      </c>
      <c r="J15" s="30"/>
      <c r="K15" s="29" t="s">
        <v>537</v>
      </c>
      <c r="L15" s="29" t="s">
        <v>489</v>
      </c>
      <c r="M15" s="29" t="s">
        <v>3559</v>
      </c>
      <c r="N15" s="29"/>
      <c r="O15" s="29"/>
      <c r="P15" s="29" t="s">
        <v>3560</v>
      </c>
    </row>
    <row r="16">
      <c r="A16" s="28">
        <v>1522.0</v>
      </c>
      <c r="B16" s="29" t="s">
        <v>3561</v>
      </c>
      <c r="C16" s="29" t="s">
        <v>449</v>
      </c>
      <c r="D16" s="29" t="s">
        <v>3245</v>
      </c>
      <c r="E16" s="29" t="s">
        <v>3246</v>
      </c>
      <c r="F16" s="30"/>
      <c r="G16" s="29" t="s">
        <v>441</v>
      </c>
      <c r="H16" s="29" t="s">
        <v>469</v>
      </c>
      <c r="I16" s="29" t="s">
        <v>41</v>
      </c>
      <c r="J16" s="30"/>
      <c r="K16" s="29" t="s">
        <v>542</v>
      </c>
      <c r="L16" s="29" t="s">
        <v>476</v>
      </c>
      <c r="M16" s="29" t="s">
        <v>3562</v>
      </c>
      <c r="N16" s="29"/>
      <c r="O16" s="29"/>
      <c r="P16" s="29" t="s">
        <v>3563</v>
      </c>
    </row>
    <row r="17">
      <c r="A17" s="28">
        <v>1523.0</v>
      </c>
      <c r="B17" s="29" t="s">
        <v>3564</v>
      </c>
      <c r="C17" s="29" t="s">
        <v>449</v>
      </c>
      <c r="D17" s="29" t="s">
        <v>3245</v>
      </c>
      <c r="E17" s="29" t="s">
        <v>3246</v>
      </c>
      <c r="F17" s="30"/>
      <c r="G17" s="29" t="s">
        <v>441</v>
      </c>
      <c r="H17" s="29" t="s">
        <v>434</v>
      </c>
      <c r="I17" s="29" t="s">
        <v>41</v>
      </c>
      <c r="J17" s="30"/>
      <c r="K17" s="29" t="s">
        <v>2942</v>
      </c>
      <c r="L17" s="29" t="s">
        <v>459</v>
      </c>
      <c r="M17" s="29" t="s">
        <v>3565</v>
      </c>
      <c r="N17" s="29"/>
      <c r="O17" s="29"/>
      <c r="P17" s="29" t="s">
        <v>3566</v>
      </c>
    </row>
    <row r="18">
      <c r="A18" s="28">
        <v>1524.0</v>
      </c>
      <c r="B18" s="29" t="s">
        <v>3567</v>
      </c>
      <c r="C18" s="29" t="s">
        <v>449</v>
      </c>
      <c r="D18" s="29" t="s">
        <v>3245</v>
      </c>
      <c r="E18" s="29" t="s">
        <v>3246</v>
      </c>
      <c r="F18" s="30"/>
      <c r="G18" s="29" t="s">
        <v>441</v>
      </c>
      <c r="H18" s="29" t="s">
        <v>592</v>
      </c>
      <c r="I18" s="29" t="s">
        <v>41</v>
      </c>
      <c r="J18" s="30"/>
      <c r="K18" s="29" t="s">
        <v>1293</v>
      </c>
      <c r="L18" s="30"/>
      <c r="M18" s="29" t="s">
        <v>3568</v>
      </c>
      <c r="N18" s="29"/>
      <c r="O18" s="29"/>
      <c r="P18" s="29" t="s">
        <v>3569</v>
      </c>
    </row>
    <row r="19">
      <c r="A19" s="28">
        <v>1525.0</v>
      </c>
      <c r="B19" s="29" t="s">
        <v>3570</v>
      </c>
      <c r="C19" s="29" t="s">
        <v>449</v>
      </c>
      <c r="D19" s="29" t="s">
        <v>3245</v>
      </c>
      <c r="E19" s="29" t="s">
        <v>3246</v>
      </c>
      <c r="F19" s="30"/>
      <c r="G19" s="29" t="s">
        <v>441</v>
      </c>
      <c r="H19" s="29" t="s">
        <v>434</v>
      </c>
      <c r="I19" s="29" t="s">
        <v>41</v>
      </c>
      <c r="J19" s="30"/>
      <c r="K19" s="29" t="s">
        <v>643</v>
      </c>
      <c r="L19" s="29" t="s">
        <v>489</v>
      </c>
      <c r="M19" s="29" t="s">
        <v>3571</v>
      </c>
      <c r="N19" s="29"/>
      <c r="O19" s="29"/>
      <c r="P19" s="29" t="s">
        <v>3572</v>
      </c>
    </row>
    <row r="20">
      <c r="A20" s="28">
        <v>1526.0</v>
      </c>
      <c r="B20" s="29" t="s">
        <v>3573</v>
      </c>
      <c r="C20" s="29" t="s">
        <v>449</v>
      </c>
      <c r="D20" s="29" t="s">
        <v>3245</v>
      </c>
      <c r="E20" s="29" t="s">
        <v>3246</v>
      </c>
      <c r="F20" s="30"/>
      <c r="G20" s="29" t="s">
        <v>441</v>
      </c>
      <c r="H20" s="29" t="s">
        <v>434</v>
      </c>
      <c r="I20" s="29" t="s">
        <v>41</v>
      </c>
      <c r="J20" s="30"/>
      <c r="K20" s="29" t="s">
        <v>493</v>
      </c>
      <c r="L20" s="29" t="s">
        <v>3574</v>
      </c>
      <c r="M20" s="29" t="s">
        <v>3575</v>
      </c>
      <c r="N20" s="29"/>
      <c r="O20" s="29"/>
      <c r="P20" s="29" t="s">
        <v>3576</v>
      </c>
    </row>
    <row r="21">
      <c r="A21" s="28">
        <v>8887.0</v>
      </c>
      <c r="B21" s="29" t="s">
        <v>3577</v>
      </c>
      <c r="C21" s="29" t="s">
        <v>449</v>
      </c>
      <c r="D21" s="29" t="s">
        <v>3245</v>
      </c>
      <c r="E21" s="29" t="s">
        <v>3246</v>
      </c>
      <c r="F21" s="30"/>
      <c r="G21" s="29" t="s">
        <v>679</v>
      </c>
      <c r="H21" s="29" t="s">
        <v>3578</v>
      </c>
      <c r="I21" s="29" t="s">
        <v>41</v>
      </c>
      <c r="J21" s="29" t="s">
        <v>3579</v>
      </c>
      <c r="K21" s="29" t="s">
        <v>3580</v>
      </c>
      <c r="L21" s="29" t="s">
        <v>3581</v>
      </c>
      <c r="M21" s="29" t="s">
        <v>3582</v>
      </c>
      <c r="N21" s="29"/>
      <c r="O21" s="29"/>
      <c r="P21" s="29" t="s">
        <v>3583</v>
      </c>
    </row>
    <row r="22">
      <c r="A22" s="28">
        <v>8891.0</v>
      </c>
      <c r="B22" s="29" t="s">
        <v>3584</v>
      </c>
      <c r="C22" s="29" t="s">
        <v>449</v>
      </c>
      <c r="D22" s="29" t="s">
        <v>3245</v>
      </c>
      <c r="E22" s="29" t="s">
        <v>3246</v>
      </c>
      <c r="F22" s="30"/>
      <c r="G22" s="29" t="s">
        <v>610</v>
      </c>
      <c r="H22" s="29" t="s">
        <v>692</v>
      </c>
      <c r="I22" s="29" t="s">
        <v>41</v>
      </c>
      <c r="J22" s="30"/>
      <c r="K22" s="29" t="s">
        <v>610</v>
      </c>
      <c r="L22" s="30"/>
      <c r="M22" s="29" t="s">
        <v>3585</v>
      </c>
      <c r="N22" s="29"/>
      <c r="O22" s="29"/>
      <c r="P22" s="29" t="s">
        <v>3586</v>
      </c>
    </row>
    <row r="23">
      <c r="A23" s="28">
        <v>9749.0</v>
      </c>
      <c r="B23" s="29" t="s">
        <v>3587</v>
      </c>
      <c r="C23" s="29" t="s">
        <v>432</v>
      </c>
      <c r="D23" s="29" t="s">
        <v>3245</v>
      </c>
      <c r="E23" s="29" t="s">
        <v>3246</v>
      </c>
      <c r="F23" s="30"/>
      <c r="G23" s="29" t="s">
        <v>441</v>
      </c>
      <c r="H23" s="29" t="s">
        <v>3588</v>
      </c>
      <c r="I23" s="29" t="s">
        <v>368</v>
      </c>
      <c r="J23" s="30"/>
      <c r="K23" s="29" t="s">
        <v>3589</v>
      </c>
      <c r="L23" s="29" t="s">
        <v>484</v>
      </c>
      <c r="M23" s="29" t="s">
        <v>3590</v>
      </c>
      <c r="N23" s="29"/>
      <c r="O23" s="29"/>
      <c r="P23" s="29" t="s">
        <v>3591</v>
      </c>
    </row>
    <row r="24">
      <c r="A24" s="28">
        <v>10252.0</v>
      </c>
      <c r="B24" s="29" t="s">
        <v>3312</v>
      </c>
      <c r="C24" s="29" t="s">
        <v>432</v>
      </c>
      <c r="D24" s="29" t="s">
        <v>3313</v>
      </c>
      <c r="E24" s="29" t="s">
        <v>3314</v>
      </c>
      <c r="F24" s="30"/>
      <c r="G24" s="29" t="s">
        <v>433</v>
      </c>
      <c r="H24" s="29" t="s">
        <v>434</v>
      </c>
      <c r="I24" s="29" t="s">
        <v>3022</v>
      </c>
      <c r="J24" s="30"/>
      <c r="K24" s="29" t="s">
        <v>3592</v>
      </c>
      <c r="L24" s="29" t="s">
        <v>3593</v>
      </c>
      <c r="M24" s="29" t="s">
        <v>3594</v>
      </c>
      <c r="N24" s="29"/>
      <c r="O24" s="29"/>
      <c r="P24" s="29" t="s">
        <v>3595</v>
      </c>
    </row>
    <row r="25">
      <c r="A25" s="28">
        <v>8685.0</v>
      </c>
      <c r="B25" s="29" t="s">
        <v>3596</v>
      </c>
      <c r="C25" s="29" t="s">
        <v>449</v>
      </c>
      <c r="D25" s="29" t="s">
        <v>3320</v>
      </c>
      <c r="E25" s="29" t="s">
        <v>3321</v>
      </c>
      <c r="F25" s="30"/>
      <c r="G25" s="29" t="s">
        <v>433</v>
      </c>
      <c r="H25" s="29" t="s">
        <v>474</v>
      </c>
      <c r="I25" s="29" t="s">
        <v>41</v>
      </c>
      <c r="J25" s="30"/>
      <c r="K25" s="29" t="s">
        <v>653</v>
      </c>
      <c r="L25" s="29" t="s">
        <v>465</v>
      </c>
      <c r="M25" s="29" t="s">
        <v>3597</v>
      </c>
      <c r="N25" s="29"/>
      <c r="O25" s="29"/>
      <c r="P25" s="29" t="s">
        <v>3598</v>
      </c>
    </row>
    <row r="26">
      <c r="A26" s="28">
        <v>9719.0</v>
      </c>
      <c r="B26" s="29" t="s">
        <v>3599</v>
      </c>
      <c r="C26" s="29" t="s">
        <v>432</v>
      </c>
      <c r="D26" s="29" t="s">
        <v>3320</v>
      </c>
      <c r="E26" s="29" t="s">
        <v>3321</v>
      </c>
      <c r="F26" s="30"/>
      <c r="G26" s="29" t="s">
        <v>441</v>
      </c>
      <c r="H26" s="29" t="s">
        <v>3600</v>
      </c>
      <c r="I26" s="29" t="s">
        <v>2963</v>
      </c>
      <c r="J26" s="30"/>
      <c r="K26" s="29" t="s">
        <v>3601</v>
      </c>
      <c r="L26" s="29" t="s">
        <v>476</v>
      </c>
      <c r="M26" s="29" t="s">
        <v>3602</v>
      </c>
      <c r="N26" s="29"/>
      <c r="O26" s="29"/>
      <c r="P26" s="29" t="s">
        <v>3603</v>
      </c>
    </row>
    <row r="27">
      <c r="A27" s="28">
        <v>10172.0</v>
      </c>
      <c r="B27" s="29" t="s">
        <v>3604</v>
      </c>
      <c r="C27" s="29" t="s">
        <v>432</v>
      </c>
      <c r="D27" s="29" t="s">
        <v>3320</v>
      </c>
      <c r="E27" s="29" t="s">
        <v>3321</v>
      </c>
      <c r="F27" s="30"/>
      <c r="G27" s="29" t="s">
        <v>433</v>
      </c>
      <c r="H27" s="29" t="s">
        <v>434</v>
      </c>
      <c r="I27" s="29" t="s">
        <v>144</v>
      </c>
      <c r="J27" s="29" t="s">
        <v>3605</v>
      </c>
      <c r="K27" s="29" t="s">
        <v>3606</v>
      </c>
      <c r="L27" s="29" t="s">
        <v>511</v>
      </c>
      <c r="M27" s="29" t="s">
        <v>3607</v>
      </c>
      <c r="N27" s="29"/>
      <c r="O27" s="29"/>
      <c r="P27" s="29" t="s">
        <v>3608</v>
      </c>
    </row>
    <row r="28">
      <c r="A28" s="28">
        <v>10233.0</v>
      </c>
      <c r="B28" s="29" t="s">
        <v>3609</v>
      </c>
      <c r="C28" s="29" t="s">
        <v>432</v>
      </c>
      <c r="D28" s="29" t="s">
        <v>3339</v>
      </c>
      <c r="E28" s="29" t="s">
        <v>3340</v>
      </c>
      <c r="F28" s="30"/>
      <c r="G28" s="29" t="s">
        <v>433</v>
      </c>
      <c r="H28" s="29" t="s">
        <v>1114</v>
      </c>
      <c r="I28" s="29" t="s">
        <v>144</v>
      </c>
      <c r="J28" s="30"/>
      <c r="K28" s="29" t="s">
        <v>3610</v>
      </c>
      <c r="L28" s="29" t="s">
        <v>465</v>
      </c>
      <c r="M28" s="29" t="s">
        <v>3611</v>
      </c>
      <c r="N28" s="29"/>
      <c r="O28" s="29"/>
      <c r="P28" s="29" t="s">
        <v>3612</v>
      </c>
    </row>
    <row r="29">
      <c r="A29" s="28">
        <v>1541.0</v>
      </c>
      <c r="B29" s="29" t="s">
        <v>3613</v>
      </c>
      <c r="C29" s="29" t="s">
        <v>449</v>
      </c>
      <c r="D29" s="29" t="s">
        <v>3347</v>
      </c>
      <c r="E29" s="29" t="s">
        <v>3348</v>
      </c>
      <c r="F29" s="30"/>
      <c r="G29" s="29" t="s">
        <v>441</v>
      </c>
      <c r="H29" s="29" t="s">
        <v>3614</v>
      </c>
      <c r="I29" s="29" t="s">
        <v>41</v>
      </c>
      <c r="J29" s="30"/>
      <c r="K29" s="29" t="s">
        <v>1241</v>
      </c>
      <c r="L29" s="29" t="s">
        <v>3615</v>
      </c>
      <c r="M29" s="29" t="s">
        <v>3616</v>
      </c>
      <c r="N29" s="29"/>
      <c r="O29" s="29"/>
      <c r="P29" s="29" t="s">
        <v>3617</v>
      </c>
    </row>
    <row r="30">
      <c r="A30" s="28">
        <v>1543.0</v>
      </c>
      <c r="B30" s="29" t="s">
        <v>3618</v>
      </c>
      <c r="C30" s="29" t="s">
        <v>449</v>
      </c>
      <c r="D30" s="29" t="s">
        <v>3347</v>
      </c>
      <c r="E30" s="29" t="s">
        <v>3348</v>
      </c>
      <c r="F30" s="30"/>
      <c r="G30" s="29" t="s">
        <v>441</v>
      </c>
      <c r="H30" s="29" t="s">
        <v>3619</v>
      </c>
      <c r="I30" s="29" t="s">
        <v>41</v>
      </c>
      <c r="J30" s="30"/>
      <c r="K30" s="29" t="s">
        <v>3620</v>
      </c>
      <c r="L30" s="29" t="s">
        <v>621</v>
      </c>
      <c r="M30" s="29" t="s">
        <v>3621</v>
      </c>
      <c r="N30" s="29"/>
      <c r="O30" s="29"/>
      <c r="P30" s="29" t="s">
        <v>3622</v>
      </c>
    </row>
    <row r="31">
      <c r="A31" s="28">
        <v>2054.0</v>
      </c>
      <c r="B31" s="29" t="s">
        <v>3623</v>
      </c>
      <c r="C31" s="29" t="s">
        <v>432</v>
      </c>
      <c r="D31" s="29" t="s">
        <v>3347</v>
      </c>
      <c r="E31" s="29" t="s">
        <v>3348</v>
      </c>
      <c r="F31" s="29" t="s">
        <v>691</v>
      </c>
      <c r="G31" s="29" t="s">
        <v>664</v>
      </c>
      <c r="H31" s="29" t="s">
        <v>519</v>
      </c>
      <c r="I31" s="29" t="s">
        <v>144</v>
      </c>
      <c r="J31" s="29" t="s">
        <v>3624</v>
      </c>
      <c r="K31" s="29" t="s">
        <v>3625</v>
      </c>
      <c r="L31" s="29" t="s">
        <v>3626</v>
      </c>
      <c r="M31" s="29" t="s">
        <v>3627</v>
      </c>
      <c r="N31" s="29"/>
      <c r="O31" s="29"/>
      <c r="P31" s="29" t="s">
        <v>3628</v>
      </c>
    </row>
    <row r="32">
      <c r="A32" s="28">
        <v>8625.0</v>
      </c>
      <c r="B32" s="29" t="s">
        <v>3629</v>
      </c>
      <c r="C32" s="29" t="s">
        <v>449</v>
      </c>
      <c r="D32" s="29" t="s">
        <v>3347</v>
      </c>
      <c r="E32" s="29" t="s">
        <v>3348</v>
      </c>
      <c r="F32" s="29" t="s">
        <v>433</v>
      </c>
      <c r="G32" s="29" t="s">
        <v>433</v>
      </c>
      <c r="H32" s="29" t="s">
        <v>3630</v>
      </c>
      <c r="I32" s="29" t="s">
        <v>41</v>
      </c>
      <c r="J32" s="29" t="s">
        <v>3631</v>
      </c>
      <c r="K32" s="29" t="s">
        <v>1145</v>
      </c>
      <c r="L32" s="29" t="s">
        <v>3632</v>
      </c>
      <c r="M32" s="29" t="s">
        <v>3633</v>
      </c>
      <c r="N32" s="29"/>
      <c r="O32" s="29"/>
      <c r="P32" s="29" t="s">
        <v>3634</v>
      </c>
    </row>
    <row r="33">
      <c r="A33" s="28">
        <v>8760.0</v>
      </c>
      <c r="B33" s="29" t="s">
        <v>3635</v>
      </c>
      <c r="C33" s="29" t="s">
        <v>432</v>
      </c>
      <c r="D33" s="29" t="s">
        <v>3347</v>
      </c>
      <c r="E33" s="29" t="s">
        <v>3348</v>
      </c>
      <c r="F33" s="29" t="s">
        <v>450</v>
      </c>
      <c r="G33" s="29" t="s">
        <v>610</v>
      </c>
      <c r="H33" s="29" t="s">
        <v>634</v>
      </c>
      <c r="I33" s="29" t="s">
        <v>18</v>
      </c>
      <c r="J33" s="30"/>
      <c r="K33" s="29" t="s">
        <v>450</v>
      </c>
      <c r="L33" s="29" t="s">
        <v>3636</v>
      </c>
      <c r="M33" s="29" t="s">
        <v>3637</v>
      </c>
      <c r="N33" s="29"/>
      <c r="O33" s="29"/>
      <c r="P33" s="29" t="s">
        <v>3638</v>
      </c>
    </row>
    <row r="34">
      <c r="A34" s="28">
        <v>10175.0</v>
      </c>
      <c r="B34" s="29" t="s">
        <v>3639</v>
      </c>
      <c r="C34" s="29" t="s">
        <v>432</v>
      </c>
      <c r="D34" s="29" t="s">
        <v>3347</v>
      </c>
      <c r="E34" s="29" t="s">
        <v>3348</v>
      </c>
      <c r="F34" s="30"/>
      <c r="G34" s="29" t="s">
        <v>433</v>
      </c>
      <c r="H34" s="29" t="s">
        <v>1114</v>
      </c>
      <c r="I34" s="29" t="s">
        <v>144</v>
      </c>
      <c r="J34" s="30"/>
      <c r="K34" s="29" t="s">
        <v>3640</v>
      </c>
      <c r="L34" s="29" t="s">
        <v>465</v>
      </c>
      <c r="M34" s="29" t="s">
        <v>3641</v>
      </c>
      <c r="N34" s="29"/>
      <c r="O34" s="29"/>
      <c r="P34" s="29" t="s">
        <v>3642</v>
      </c>
    </row>
    <row r="35">
      <c r="A35" s="28">
        <v>1552.0</v>
      </c>
      <c r="B35" s="29" t="s">
        <v>3643</v>
      </c>
      <c r="C35" s="29" t="s">
        <v>449</v>
      </c>
      <c r="D35" s="29" t="s">
        <v>3388</v>
      </c>
      <c r="E35" s="29" t="s">
        <v>3389</v>
      </c>
      <c r="F35" s="29" t="s">
        <v>433</v>
      </c>
      <c r="G35" s="29" t="s">
        <v>664</v>
      </c>
      <c r="H35" s="29" t="s">
        <v>519</v>
      </c>
      <c r="I35" s="29" t="s">
        <v>41</v>
      </c>
      <c r="J35" s="29" t="s">
        <v>3644</v>
      </c>
      <c r="K35" s="29" t="s">
        <v>635</v>
      </c>
      <c r="L35" s="29" t="s">
        <v>3645</v>
      </c>
      <c r="M35" s="29" t="s">
        <v>3646</v>
      </c>
      <c r="N35" s="29"/>
      <c r="O35" s="29"/>
      <c r="P35" s="29" t="s">
        <v>3647</v>
      </c>
    </row>
    <row r="36">
      <c r="A36" s="28">
        <v>1553.0</v>
      </c>
      <c r="B36" s="29" t="s">
        <v>3648</v>
      </c>
      <c r="C36" s="29" t="s">
        <v>449</v>
      </c>
      <c r="D36" s="29" t="s">
        <v>3388</v>
      </c>
      <c r="E36" s="29" t="s">
        <v>3389</v>
      </c>
      <c r="F36" s="30"/>
      <c r="G36" s="29" t="s">
        <v>441</v>
      </c>
      <c r="H36" s="29" t="s">
        <v>1811</v>
      </c>
      <c r="I36" s="29" t="s">
        <v>41</v>
      </c>
      <c r="J36" s="30"/>
      <c r="K36" s="29" t="s">
        <v>643</v>
      </c>
      <c r="L36" s="29" t="s">
        <v>459</v>
      </c>
      <c r="M36" s="29" t="s">
        <v>3649</v>
      </c>
      <c r="N36" s="29"/>
      <c r="O36" s="29"/>
      <c r="P36" s="29" t="s">
        <v>3650</v>
      </c>
    </row>
    <row r="37">
      <c r="A37" s="28">
        <v>1554.0</v>
      </c>
      <c r="B37" s="29" t="s">
        <v>3651</v>
      </c>
      <c r="C37" s="29" t="s">
        <v>449</v>
      </c>
      <c r="D37" s="29" t="s">
        <v>3388</v>
      </c>
      <c r="E37" s="29" t="s">
        <v>3389</v>
      </c>
      <c r="F37" s="30"/>
      <c r="G37" s="29" t="s">
        <v>441</v>
      </c>
      <c r="H37" s="29" t="s">
        <v>634</v>
      </c>
      <c r="I37" s="29" t="s">
        <v>41</v>
      </c>
      <c r="J37" s="30"/>
      <c r="K37" s="29" t="s">
        <v>3652</v>
      </c>
      <c r="L37" s="29" t="s">
        <v>2412</v>
      </c>
      <c r="M37" s="29" t="s">
        <v>3653</v>
      </c>
      <c r="N37" s="29"/>
      <c r="O37" s="29"/>
      <c r="P37" s="29" t="s">
        <v>3654</v>
      </c>
    </row>
    <row r="38">
      <c r="A38" s="28">
        <v>9640.0</v>
      </c>
      <c r="B38" s="29" t="s">
        <v>3655</v>
      </c>
      <c r="C38" s="29" t="s">
        <v>432</v>
      </c>
      <c r="D38" s="29" t="s">
        <v>3388</v>
      </c>
      <c r="E38" s="29" t="s">
        <v>3389</v>
      </c>
      <c r="F38" s="30"/>
      <c r="G38" s="29" t="s">
        <v>433</v>
      </c>
      <c r="H38" s="29" t="s">
        <v>2501</v>
      </c>
      <c r="I38" s="29" t="s">
        <v>435</v>
      </c>
      <c r="J38" s="30"/>
      <c r="K38" s="29" t="s">
        <v>3656</v>
      </c>
      <c r="L38" s="29" t="s">
        <v>674</v>
      </c>
      <c r="M38" s="29" t="s">
        <v>3657</v>
      </c>
      <c r="N38" s="29"/>
      <c r="O38" s="29"/>
      <c r="P38" s="29" t="s">
        <v>3658</v>
      </c>
    </row>
    <row r="39">
      <c r="A39" s="28">
        <v>9645.0</v>
      </c>
      <c r="B39" s="29" t="s">
        <v>3425</v>
      </c>
      <c r="C39" s="29" t="s">
        <v>432</v>
      </c>
      <c r="D39" s="29" t="s">
        <v>3388</v>
      </c>
      <c r="E39" s="29" t="s">
        <v>3389</v>
      </c>
      <c r="F39" s="30"/>
      <c r="G39" s="29" t="s">
        <v>433</v>
      </c>
      <c r="H39" s="29" t="s">
        <v>482</v>
      </c>
      <c r="I39" s="29" t="s">
        <v>234</v>
      </c>
      <c r="J39" s="30"/>
      <c r="K39" s="29" t="s">
        <v>3659</v>
      </c>
      <c r="L39" s="29" t="s">
        <v>489</v>
      </c>
      <c r="M39" s="29" t="s">
        <v>3660</v>
      </c>
      <c r="N39" s="29"/>
      <c r="O39" s="29"/>
      <c r="P39" s="29" t="s">
        <v>3661</v>
      </c>
    </row>
    <row r="40">
      <c r="A40" s="28">
        <v>10165.0</v>
      </c>
      <c r="B40" s="29" t="s">
        <v>3662</v>
      </c>
      <c r="C40" s="29" t="s">
        <v>432</v>
      </c>
      <c r="D40" s="29" t="s">
        <v>3388</v>
      </c>
      <c r="E40" s="29" t="s">
        <v>3389</v>
      </c>
      <c r="F40" s="30"/>
      <c r="G40" s="29" t="s">
        <v>441</v>
      </c>
      <c r="H40" s="29" t="s">
        <v>469</v>
      </c>
      <c r="I40" s="29" t="s">
        <v>407</v>
      </c>
      <c r="J40" s="30"/>
      <c r="K40" s="29" t="s">
        <v>3663</v>
      </c>
      <c r="L40" s="29" t="s">
        <v>489</v>
      </c>
      <c r="M40" s="29" t="s">
        <v>3664</v>
      </c>
      <c r="N40" s="29"/>
      <c r="O40" s="29"/>
      <c r="P40" s="29" t="s">
        <v>3665</v>
      </c>
    </row>
    <row r="41">
      <c r="A41" s="28">
        <v>10183.0</v>
      </c>
      <c r="B41" s="29" t="s">
        <v>3666</v>
      </c>
      <c r="C41" s="29" t="s">
        <v>432</v>
      </c>
      <c r="D41" s="29" t="s">
        <v>3388</v>
      </c>
      <c r="E41" s="29" t="s">
        <v>3389</v>
      </c>
      <c r="F41" s="30"/>
      <c r="G41" s="29" t="s">
        <v>3123</v>
      </c>
      <c r="H41" s="29" t="s">
        <v>434</v>
      </c>
      <c r="I41" s="29" t="s">
        <v>407</v>
      </c>
      <c r="J41" s="30"/>
      <c r="K41" s="29" t="s">
        <v>3667</v>
      </c>
      <c r="L41" s="29" t="s">
        <v>3668</v>
      </c>
      <c r="M41" s="29" t="s">
        <v>3669</v>
      </c>
      <c r="N41" s="29"/>
      <c r="O41" s="29"/>
      <c r="P41" s="29" t="s">
        <v>3670</v>
      </c>
    </row>
    <row r="42">
      <c r="A42" s="28">
        <v>1560.0</v>
      </c>
      <c r="B42" s="29" t="s">
        <v>3671</v>
      </c>
      <c r="C42" s="29" t="s">
        <v>432</v>
      </c>
      <c r="D42" s="29" t="s">
        <v>2561</v>
      </c>
      <c r="E42" s="29" t="s">
        <v>2562</v>
      </c>
      <c r="F42" s="29" t="s">
        <v>450</v>
      </c>
      <c r="G42" s="29" t="s">
        <v>450</v>
      </c>
      <c r="H42" s="29" t="s">
        <v>3672</v>
      </c>
      <c r="I42" s="29" t="s">
        <v>144</v>
      </c>
      <c r="J42" s="29" t="s">
        <v>3673</v>
      </c>
      <c r="K42" s="29" t="s">
        <v>649</v>
      </c>
      <c r="L42" s="29" t="s">
        <v>3674</v>
      </c>
      <c r="M42" s="29" t="s">
        <v>3675</v>
      </c>
      <c r="N42" s="29"/>
      <c r="O42" s="29"/>
      <c r="P42" s="29" t="s">
        <v>3676</v>
      </c>
    </row>
    <row r="43">
      <c r="A43" s="28">
        <v>1564.0</v>
      </c>
      <c r="B43" s="29" t="s">
        <v>3677</v>
      </c>
      <c r="C43" s="29" t="s">
        <v>432</v>
      </c>
      <c r="D43" s="29" t="s">
        <v>2561</v>
      </c>
      <c r="E43" s="29" t="s">
        <v>2562</v>
      </c>
      <c r="F43" s="30"/>
      <c r="G43" s="29" t="s">
        <v>441</v>
      </c>
      <c r="H43" s="29" t="s">
        <v>434</v>
      </c>
      <c r="I43" s="29" t="s">
        <v>407</v>
      </c>
      <c r="J43" s="30"/>
      <c r="K43" s="29" t="s">
        <v>3678</v>
      </c>
      <c r="L43" s="29" t="s">
        <v>3679</v>
      </c>
      <c r="M43" s="29" t="s">
        <v>3680</v>
      </c>
      <c r="N43" s="29"/>
      <c r="O43" s="29"/>
      <c r="P43" s="29" t="s">
        <v>3681</v>
      </c>
    </row>
    <row r="44">
      <c r="A44" s="28">
        <v>2005.0</v>
      </c>
      <c r="B44" s="29" t="s">
        <v>3682</v>
      </c>
      <c r="C44" s="29" t="s">
        <v>449</v>
      </c>
      <c r="D44" s="29" t="s">
        <v>2561</v>
      </c>
      <c r="E44" s="29" t="s">
        <v>2562</v>
      </c>
      <c r="F44" s="30"/>
      <c r="G44" s="29" t="s">
        <v>441</v>
      </c>
      <c r="H44" s="29" t="s">
        <v>434</v>
      </c>
      <c r="I44" s="29" t="s">
        <v>41</v>
      </c>
      <c r="J44" s="30"/>
      <c r="K44" s="29" t="s">
        <v>659</v>
      </c>
      <c r="L44" s="29" t="s">
        <v>489</v>
      </c>
      <c r="M44" s="29" t="s">
        <v>3683</v>
      </c>
      <c r="N44" s="29"/>
      <c r="O44" s="29"/>
      <c r="P44" s="29" t="s">
        <v>3684</v>
      </c>
    </row>
    <row r="45">
      <c r="A45" s="28">
        <v>2009.0</v>
      </c>
      <c r="B45" s="29" t="s">
        <v>3685</v>
      </c>
      <c r="C45" s="29" t="s">
        <v>449</v>
      </c>
      <c r="D45" s="29" t="s">
        <v>2561</v>
      </c>
      <c r="E45" s="29" t="s">
        <v>2562</v>
      </c>
      <c r="F45" s="30"/>
      <c r="G45" s="29" t="s">
        <v>441</v>
      </c>
      <c r="H45" s="29" t="s">
        <v>3686</v>
      </c>
      <c r="I45" s="29" t="s">
        <v>41</v>
      </c>
      <c r="J45" s="30"/>
      <c r="K45" s="29" t="s">
        <v>537</v>
      </c>
      <c r="L45" s="29" t="s">
        <v>3687</v>
      </c>
      <c r="M45" s="29" t="s">
        <v>3688</v>
      </c>
      <c r="N45" s="29"/>
      <c r="O45" s="29"/>
      <c r="P45" s="29" t="s">
        <v>3689</v>
      </c>
    </row>
    <row r="46">
      <c r="A46" s="28">
        <v>2010.0</v>
      </c>
      <c r="B46" s="29" t="s">
        <v>3690</v>
      </c>
      <c r="C46" s="29" t="s">
        <v>449</v>
      </c>
      <c r="D46" s="29" t="s">
        <v>2561</v>
      </c>
      <c r="E46" s="29" t="s">
        <v>2562</v>
      </c>
      <c r="F46" s="30"/>
      <c r="G46" s="29" t="s">
        <v>441</v>
      </c>
      <c r="H46" s="29" t="s">
        <v>2480</v>
      </c>
      <c r="I46" s="29" t="s">
        <v>41</v>
      </c>
      <c r="J46" s="30"/>
      <c r="K46" s="29" t="s">
        <v>659</v>
      </c>
      <c r="L46" s="29" t="s">
        <v>3691</v>
      </c>
      <c r="M46" s="29" t="s">
        <v>3692</v>
      </c>
      <c r="N46" s="29"/>
      <c r="O46" s="29"/>
      <c r="P46" s="29" t="s">
        <v>3693</v>
      </c>
    </row>
    <row r="47">
      <c r="A47" s="28">
        <v>8594.0</v>
      </c>
      <c r="B47" s="29" t="s">
        <v>3694</v>
      </c>
      <c r="C47" s="29" t="s">
        <v>449</v>
      </c>
      <c r="D47" s="29" t="s">
        <v>2561</v>
      </c>
      <c r="E47" s="29" t="s">
        <v>2562</v>
      </c>
      <c r="F47" s="30"/>
      <c r="G47" s="29" t="s">
        <v>441</v>
      </c>
      <c r="H47" s="29" t="s">
        <v>474</v>
      </c>
      <c r="I47" s="29" t="s">
        <v>41</v>
      </c>
      <c r="J47" s="30"/>
      <c r="K47" s="29" t="s">
        <v>537</v>
      </c>
      <c r="L47" s="29" t="s">
        <v>489</v>
      </c>
      <c r="M47" s="29" t="s">
        <v>3695</v>
      </c>
      <c r="N47" s="29"/>
      <c r="O47" s="29"/>
      <c r="P47" s="29" t="s">
        <v>3696</v>
      </c>
    </row>
    <row r="48">
      <c r="A48" s="28">
        <v>9391.0</v>
      </c>
      <c r="B48" s="29" t="s">
        <v>3697</v>
      </c>
      <c r="C48" s="29" t="s">
        <v>432</v>
      </c>
      <c r="D48" s="29" t="s">
        <v>2561</v>
      </c>
      <c r="E48" s="29" t="s">
        <v>2562</v>
      </c>
      <c r="F48" s="30"/>
      <c r="G48" s="29" t="s">
        <v>441</v>
      </c>
      <c r="H48" s="29" t="s">
        <v>3554</v>
      </c>
      <c r="I48" s="29" t="s">
        <v>234</v>
      </c>
      <c r="J48" s="30"/>
      <c r="K48" s="29" t="s">
        <v>1781</v>
      </c>
      <c r="L48" s="29" t="s">
        <v>459</v>
      </c>
      <c r="M48" s="29" t="s">
        <v>3698</v>
      </c>
      <c r="N48" s="29"/>
      <c r="O48" s="29"/>
      <c r="P48" s="29" t="s">
        <v>3699</v>
      </c>
    </row>
    <row r="49">
      <c r="A49" s="28">
        <v>9392.0</v>
      </c>
      <c r="B49" s="29" t="s">
        <v>3700</v>
      </c>
      <c r="C49" s="29" t="s">
        <v>449</v>
      </c>
      <c r="D49" s="29" t="s">
        <v>2561</v>
      </c>
      <c r="E49" s="29" t="s">
        <v>2562</v>
      </c>
      <c r="F49" s="30"/>
      <c r="G49" s="29" t="s">
        <v>441</v>
      </c>
      <c r="H49" s="29" t="s">
        <v>3036</v>
      </c>
      <c r="I49" s="29" t="s">
        <v>45</v>
      </c>
      <c r="J49" s="30"/>
      <c r="K49" s="29" t="s">
        <v>1781</v>
      </c>
      <c r="L49" s="29" t="s">
        <v>476</v>
      </c>
      <c r="M49" s="29" t="s">
        <v>3701</v>
      </c>
      <c r="N49" s="29"/>
      <c r="O49" s="29"/>
      <c r="P49" s="29" t="s">
        <v>3702</v>
      </c>
    </row>
    <row r="50">
      <c r="A50" s="28">
        <v>9393.0</v>
      </c>
      <c r="B50" s="29" t="s">
        <v>3703</v>
      </c>
      <c r="C50" s="29" t="s">
        <v>432</v>
      </c>
      <c r="D50" s="29" t="s">
        <v>2561</v>
      </c>
      <c r="E50" s="29" t="s">
        <v>2562</v>
      </c>
      <c r="F50" s="30"/>
      <c r="G50" s="29" t="s">
        <v>441</v>
      </c>
      <c r="H50" s="29" t="s">
        <v>442</v>
      </c>
      <c r="I50" s="29" t="s">
        <v>435</v>
      </c>
      <c r="J50" s="30"/>
      <c r="K50" s="29" t="s">
        <v>3704</v>
      </c>
      <c r="L50" s="29" t="s">
        <v>476</v>
      </c>
      <c r="M50" s="29" t="s">
        <v>3705</v>
      </c>
      <c r="N50" s="29"/>
      <c r="O50" s="29"/>
      <c r="P50" s="29" t="s">
        <v>3706</v>
      </c>
    </row>
    <row r="51">
      <c r="A51" s="28">
        <v>9512.0</v>
      </c>
      <c r="B51" s="29" t="s">
        <v>3707</v>
      </c>
      <c r="C51" s="29" t="s">
        <v>432</v>
      </c>
      <c r="D51" s="29" t="s">
        <v>2561</v>
      </c>
      <c r="E51" s="29" t="s">
        <v>2562</v>
      </c>
      <c r="F51" s="30"/>
      <c r="G51" s="29" t="s">
        <v>433</v>
      </c>
      <c r="H51" s="29" t="s">
        <v>3708</v>
      </c>
      <c r="I51" s="29" t="s">
        <v>234</v>
      </c>
      <c r="J51" s="30"/>
      <c r="K51" s="29" t="s">
        <v>3709</v>
      </c>
      <c r="L51" s="29" t="s">
        <v>3710</v>
      </c>
      <c r="M51" s="29" t="s">
        <v>1830</v>
      </c>
      <c r="N51" s="29"/>
      <c r="O51" s="29"/>
      <c r="P51" s="29" t="s">
        <v>3711</v>
      </c>
    </row>
    <row r="52">
      <c r="A52" s="138"/>
      <c r="B52" s="138"/>
      <c r="C52" s="138"/>
      <c r="D52" s="138"/>
      <c r="E52" s="138"/>
      <c r="F52" s="138"/>
      <c r="G52" s="138"/>
      <c r="H52" s="138"/>
      <c r="I52" s="138"/>
      <c r="J52" s="138"/>
      <c r="K52" s="138"/>
      <c r="L52" s="138"/>
      <c r="M52" s="138"/>
      <c r="N52" s="138"/>
      <c r="O52" s="138"/>
      <c r="P52" s="138"/>
    </row>
    <row r="53">
      <c r="A53" s="138"/>
      <c r="B53" s="138"/>
      <c r="C53" s="138"/>
      <c r="D53" s="138"/>
      <c r="E53" s="138"/>
      <c r="F53" s="138"/>
      <c r="G53" s="138"/>
      <c r="H53" s="138"/>
      <c r="I53" s="138"/>
      <c r="J53" s="138"/>
      <c r="K53" s="138"/>
      <c r="L53" s="138"/>
      <c r="M53" s="138"/>
      <c r="N53" s="138"/>
      <c r="O53" s="138"/>
      <c r="P53" s="138"/>
    </row>
    <row r="54">
      <c r="A54" s="138"/>
      <c r="B54" s="138"/>
      <c r="C54" s="138"/>
      <c r="D54" s="138"/>
      <c r="E54" s="138"/>
      <c r="F54" s="138"/>
      <c r="G54" s="138"/>
      <c r="H54" s="138"/>
      <c r="I54" s="138"/>
      <c r="J54" s="138"/>
      <c r="K54" s="138"/>
      <c r="L54" s="138"/>
      <c r="M54" s="138"/>
      <c r="N54" s="138"/>
      <c r="O54" s="138"/>
      <c r="P54" s="138"/>
    </row>
    <row r="55">
      <c r="A55" s="138"/>
      <c r="B55" s="138"/>
      <c r="C55" s="138"/>
      <c r="D55" s="138"/>
      <c r="E55" s="138"/>
      <c r="F55" s="138"/>
      <c r="G55" s="138"/>
      <c r="H55" s="138"/>
      <c r="I55" s="138"/>
      <c r="J55" s="138"/>
      <c r="K55" s="138"/>
      <c r="L55" s="138"/>
      <c r="M55" s="138"/>
      <c r="N55" s="138"/>
      <c r="O55" s="138"/>
      <c r="P55" s="138"/>
    </row>
    <row r="56">
      <c r="A56" s="138"/>
      <c r="B56" s="138"/>
      <c r="C56" s="138"/>
      <c r="D56" s="138"/>
      <c r="E56" s="138"/>
      <c r="F56" s="138"/>
      <c r="G56" s="138"/>
      <c r="H56" s="138"/>
      <c r="I56" s="138"/>
      <c r="J56" s="138"/>
      <c r="K56" s="138"/>
      <c r="L56" s="138"/>
      <c r="M56" s="138"/>
      <c r="N56" s="138"/>
      <c r="O56" s="138"/>
      <c r="P56" s="138"/>
    </row>
    <row r="57">
      <c r="A57" s="138"/>
      <c r="B57" s="138"/>
      <c r="C57" s="138"/>
      <c r="D57" s="138"/>
      <c r="E57" s="138"/>
      <c r="F57" s="138"/>
      <c r="G57" s="138"/>
      <c r="H57" s="138"/>
      <c r="I57" s="138"/>
      <c r="J57" s="138"/>
      <c r="K57" s="138"/>
      <c r="L57" s="138"/>
      <c r="M57" s="138"/>
      <c r="N57" s="138"/>
      <c r="O57" s="138"/>
      <c r="P57" s="138"/>
    </row>
    <row r="58">
      <c r="A58" s="138"/>
      <c r="B58" s="138"/>
      <c r="C58" s="138"/>
      <c r="D58" s="138"/>
      <c r="E58" s="138"/>
      <c r="F58" s="138"/>
      <c r="G58" s="138"/>
      <c r="H58" s="138"/>
      <c r="I58" s="138"/>
      <c r="J58" s="138"/>
      <c r="K58" s="138"/>
      <c r="L58" s="138"/>
      <c r="M58" s="138"/>
      <c r="N58" s="138"/>
      <c r="O58" s="138"/>
      <c r="P58" s="138"/>
    </row>
    <row r="59">
      <c r="A59" s="138"/>
      <c r="B59" s="138"/>
      <c r="C59" s="138"/>
      <c r="D59" s="138"/>
      <c r="E59" s="138"/>
      <c r="F59" s="138"/>
      <c r="G59" s="138"/>
      <c r="H59" s="138"/>
      <c r="I59" s="138"/>
      <c r="J59" s="138"/>
      <c r="K59" s="138"/>
      <c r="L59" s="138"/>
      <c r="M59" s="138"/>
      <c r="N59" s="138"/>
      <c r="O59" s="138"/>
      <c r="P59" s="138"/>
    </row>
    <row r="60">
      <c r="A60" s="138"/>
      <c r="B60" s="138"/>
      <c r="C60" s="138"/>
      <c r="D60" s="138"/>
      <c r="E60" s="138"/>
      <c r="F60" s="138"/>
      <c r="G60" s="138"/>
      <c r="H60" s="138"/>
      <c r="I60" s="138"/>
      <c r="J60" s="138"/>
      <c r="K60" s="138"/>
      <c r="L60" s="138"/>
      <c r="M60" s="138"/>
      <c r="N60" s="138"/>
      <c r="O60" s="138"/>
      <c r="P60" s="138"/>
    </row>
    <row r="61">
      <c r="A61" s="138"/>
      <c r="B61" s="138"/>
      <c r="C61" s="138"/>
      <c r="D61" s="138"/>
      <c r="E61" s="138"/>
      <c r="F61" s="138"/>
      <c r="G61" s="138"/>
      <c r="H61" s="138"/>
      <c r="I61" s="138"/>
      <c r="J61" s="138"/>
      <c r="K61" s="138"/>
      <c r="L61" s="138"/>
      <c r="M61" s="138"/>
      <c r="N61" s="138"/>
      <c r="O61" s="138"/>
      <c r="P61" s="138"/>
    </row>
    <row r="62">
      <c r="A62" s="138"/>
      <c r="B62" s="138"/>
      <c r="C62" s="138"/>
      <c r="D62" s="138"/>
      <c r="E62" s="138"/>
      <c r="F62" s="138"/>
      <c r="G62" s="138"/>
      <c r="H62" s="138"/>
      <c r="I62" s="138"/>
      <c r="J62" s="138"/>
      <c r="K62" s="138"/>
      <c r="L62" s="138"/>
      <c r="M62" s="138"/>
      <c r="N62" s="138"/>
      <c r="O62" s="138"/>
      <c r="P62" s="138"/>
    </row>
    <row r="63">
      <c r="A63" s="138"/>
      <c r="B63" s="138"/>
      <c r="C63" s="138"/>
      <c r="D63" s="138"/>
      <c r="E63" s="138"/>
      <c r="F63" s="138"/>
      <c r="G63" s="138"/>
      <c r="H63" s="138"/>
      <c r="I63" s="138"/>
      <c r="J63" s="138"/>
      <c r="K63" s="138"/>
      <c r="L63" s="138"/>
      <c r="M63" s="138"/>
      <c r="N63" s="138"/>
      <c r="O63" s="138"/>
      <c r="P63" s="138"/>
    </row>
    <row r="64">
      <c r="A64" s="138"/>
      <c r="B64" s="138"/>
      <c r="C64" s="138"/>
      <c r="D64" s="138"/>
      <c r="E64" s="138"/>
      <c r="F64" s="138"/>
      <c r="G64" s="138"/>
      <c r="H64" s="138"/>
      <c r="I64" s="138"/>
      <c r="J64" s="138"/>
      <c r="K64" s="138"/>
      <c r="L64" s="138"/>
      <c r="M64" s="138"/>
      <c r="N64" s="138"/>
      <c r="O64" s="138"/>
      <c r="P64" s="138"/>
    </row>
    <row r="65">
      <c r="A65" s="138"/>
      <c r="B65" s="138"/>
      <c r="C65" s="138"/>
      <c r="D65" s="138"/>
      <c r="E65" s="138"/>
      <c r="F65" s="138"/>
      <c r="G65" s="138"/>
      <c r="H65" s="138"/>
      <c r="I65" s="138"/>
      <c r="J65" s="138"/>
      <c r="K65" s="138"/>
      <c r="L65" s="138"/>
      <c r="M65" s="138"/>
      <c r="N65" s="138"/>
      <c r="O65" s="138"/>
      <c r="P65" s="138"/>
    </row>
    <row r="66">
      <c r="A66" s="138"/>
      <c r="B66" s="138"/>
      <c r="C66" s="138"/>
      <c r="D66" s="138"/>
      <c r="E66" s="138"/>
      <c r="F66" s="138"/>
      <c r="G66" s="138"/>
      <c r="H66" s="138"/>
      <c r="I66" s="138"/>
      <c r="J66" s="138"/>
      <c r="K66" s="138"/>
      <c r="L66" s="138"/>
      <c r="M66" s="138"/>
      <c r="N66" s="138"/>
      <c r="O66" s="138"/>
      <c r="P66" s="138"/>
    </row>
    <row r="67">
      <c r="A67" s="138"/>
      <c r="B67" s="138"/>
      <c r="C67" s="138"/>
      <c r="D67" s="138"/>
      <c r="E67" s="138"/>
      <c r="F67" s="138"/>
      <c r="G67" s="138"/>
      <c r="H67" s="138"/>
      <c r="I67" s="138"/>
      <c r="J67" s="138"/>
      <c r="K67" s="138"/>
      <c r="L67" s="138"/>
      <c r="M67" s="138"/>
      <c r="N67" s="138"/>
      <c r="O67" s="138"/>
      <c r="P67" s="138"/>
    </row>
    <row r="68">
      <c r="A68" s="138"/>
      <c r="B68" s="138"/>
      <c r="C68" s="138"/>
      <c r="D68" s="138"/>
      <c r="E68" s="138"/>
      <c r="F68" s="138"/>
      <c r="G68" s="138"/>
      <c r="H68" s="138"/>
      <c r="I68" s="138"/>
      <c r="J68" s="138"/>
      <c r="K68" s="138"/>
      <c r="L68" s="138"/>
      <c r="M68" s="138"/>
      <c r="N68" s="138"/>
      <c r="O68" s="138"/>
      <c r="P68" s="138"/>
    </row>
    <row r="69">
      <c r="A69" s="138"/>
      <c r="B69" s="138"/>
      <c r="C69" s="138"/>
      <c r="D69" s="138"/>
      <c r="E69" s="138"/>
      <c r="F69" s="138"/>
      <c r="G69" s="138"/>
      <c r="H69" s="138"/>
      <c r="I69" s="138"/>
      <c r="J69" s="138"/>
      <c r="K69" s="138"/>
      <c r="L69" s="138"/>
      <c r="M69" s="138"/>
      <c r="N69" s="138"/>
      <c r="O69" s="138"/>
      <c r="P69" s="138"/>
    </row>
    <row r="70">
      <c r="A70" s="138"/>
      <c r="B70" s="138"/>
      <c r="C70" s="138"/>
      <c r="D70" s="138"/>
      <c r="E70" s="138"/>
      <c r="F70" s="138"/>
      <c r="G70" s="138"/>
      <c r="H70" s="138"/>
      <c r="I70" s="138"/>
      <c r="J70" s="138"/>
      <c r="K70" s="138"/>
      <c r="L70" s="138"/>
      <c r="M70" s="138"/>
      <c r="N70" s="138"/>
      <c r="O70" s="138"/>
      <c r="P70" s="138"/>
    </row>
    <row r="71">
      <c r="A71" s="138"/>
      <c r="B71" s="138"/>
      <c r="C71" s="138"/>
      <c r="D71" s="138"/>
      <c r="E71" s="138"/>
      <c r="F71" s="138"/>
      <c r="G71" s="138"/>
      <c r="H71" s="138"/>
      <c r="I71" s="138"/>
      <c r="J71" s="138"/>
      <c r="K71" s="138"/>
      <c r="L71" s="138"/>
      <c r="M71" s="138"/>
      <c r="N71" s="138"/>
      <c r="O71" s="138"/>
      <c r="P71" s="138"/>
    </row>
    <row r="72">
      <c r="A72" s="138"/>
      <c r="B72" s="138"/>
      <c r="C72" s="138"/>
      <c r="D72" s="138"/>
      <c r="E72" s="138"/>
      <c r="F72" s="138"/>
      <c r="G72" s="138"/>
      <c r="H72" s="138"/>
      <c r="I72" s="138"/>
      <c r="J72" s="138"/>
      <c r="K72" s="138"/>
      <c r="L72" s="138"/>
      <c r="M72" s="138"/>
      <c r="N72" s="138"/>
      <c r="O72" s="138"/>
      <c r="P72" s="138"/>
    </row>
    <row r="73">
      <c r="A73" s="138"/>
      <c r="B73" s="138"/>
      <c r="C73" s="138"/>
      <c r="D73" s="138"/>
      <c r="E73" s="138"/>
      <c r="F73" s="138"/>
      <c r="G73" s="138"/>
      <c r="H73" s="138"/>
      <c r="I73" s="138"/>
      <c r="J73" s="138"/>
      <c r="K73" s="138"/>
      <c r="L73" s="138"/>
      <c r="M73" s="138"/>
      <c r="N73" s="138"/>
      <c r="O73" s="138"/>
      <c r="P73" s="138"/>
    </row>
    <row r="74">
      <c r="A74" s="138"/>
      <c r="B74" s="138"/>
      <c r="C74" s="138"/>
      <c r="D74" s="138"/>
      <c r="E74" s="138"/>
      <c r="F74" s="138"/>
      <c r="G74" s="138"/>
      <c r="H74" s="138"/>
      <c r="I74" s="138"/>
      <c r="J74" s="138"/>
      <c r="K74" s="138"/>
      <c r="L74" s="138"/>
      <c r="M74" s="138"/>
      <c r="N74" s="138"/>
      <c r="O74" s="138"/>
      <c r="P74" s="138"/>
    </row>
    <row r="75">
      <c r="A75" s="138"/>
      <c r="B75" s="138"/>
      <c r="C75" s="138"/>
      <c r="D75" s="138"/>
      <c r="E75" s="138"/>
      <c r="F75" s="138"/>
      <c r="G75" s="138"/>
      <c r="H75" s="138"/>
      <c r="I75" s="138"/>
      <c r="J75" s="138"/>
      <c r="K75" s="138"/>
      <c r="L75" s="138"/>
      <c r="M75" s="138"/>
      <c r="N75" s="138"/>
      <c r="O75" s="138"/>
      <c r="P75" s="138"/>
    </row>
    <row r="76">
      <c r="A76" s="138"/>
      <c r="B76" s="138"/>
      <c r="C76" s="138"/>
      <c r="D76" s="138"/>
      <c r="E76" s="138"/>
      <c r="F76" s="138"/>
      <c r="G76" s="138"/>
      <c r="H76" s="138"/>
      <c r="I76" s="138"/>
      <c r="J76" s="138"/>
      <c r="K76" s="138"/>
      <c r="L76" s="138"/>
      <c r="M76" s="138"/>
      <c r="N76" s="138"/>
      <c r="O76" s="138"/>
      <c r="P76" s="138"/>
    </row>
    <row r="77">
      <c r="A77" s="138"/>
      <c r="B77" s="138"/>
      <c r="C77" s="138"/>
      <c r="D77" s="138"/>
      <c r="E77" s="138"/>
      <c r="F77" s="138"/>
      <c r="G77" s="138"/>
      <c r="H77" s="138"/>
      <c r="I77" s="138"/>
      <c r="J77" s="138"/>
      <c r="K77" s="138"/>
      <c r="L77" s="138"/>
      <c r="M77" s="138"/>
      <c r="N77" s="138"/>
      <c r="O77" s="138"/>
      <c r="P77" s="138"/>
    </row>
    <row r="78">
      <c r="A78" s="138"/>
      <c r="B78" s="138"/>
      <c r="C78" s="138"/>
      <c r="D78" s="138"/>
      <c r="E78" s="138"/>
      <c r="F78" s="138"/>
      <c r="G78" s="138"/>
      <c r="H78" s="138"/>
      <c r="I78" s="138"/>
      <c r="J78" s="138"/>
      <c r="K78" s="138"/>
      <c r="L78" s="138"/>
      <c r="M78" s="138"/>
      <c r="N78" s="138"/>
      <c r="O78" s="138"/>
      <c r="P78" s="138"/>
    </row>
    <row r="79">
      <c r="A79" s="138"/>
      <c r="B79" s="138"/>
      <c r="C79" s="138"/>
      <c r="D79" s="138"/>
      <c r="E79" s="138"/>
      <c r="F79" s="138"/>
      <c r="G79" s="138"/>
      <c r="H79" s="138"/>
      <c r="I79" s="138"/>
      <c r="J79" s="138"/>
      <c r="K79" s="138"/>
      <c r="L79" s="138"/>
      <c r="M79" s="138"/>
      <c r="N79" s="138"/>
      <c r="O79" s="138"/>
      <c r="P79" s="138"/>
    </row>
    <row r="80">
      <c r="A80" s="138"/>
      <c r="B80" s="138"/>
      <c r="C80" s="138"/>
      <c r="D80" s="138"/>
      <c r="E80" s="138"/>
      <c r="F80" s="138"/>
      <c r="G80" s="138"/>
      <c r="H80" s="138"/>
      <c r="I80" s="138"/>
      <c r="J80" s="138"/>
      <c r="K80" s="138"/>
      <c r="L80" s="138"/>
      <c r="M80" s="138"/>
      <c r="N80" s="138"/>
      <c r="O80" s="138"/>
      <c r="P80" s="138"/>
    </row>
    <row r="81">
      <c r="A81" s="138"/>
      <c r="B81" s="138"/>
      <c r="C81" s="138"/>
      <c r="D81" s="138"/>
      <c r="E81" s="138"/>
      <c r="F81" s="138"/>
      <c r="G81" s="138"/>
      <c r="H81" s="138"/>
      <c r="I81" s="138"/>
      <c r="J81" s="138"/>
      <c r="K81" s="138"/>
      <c r="L81" s="138"/>
      <c r="M81" s="138"/>
      <c r="N81" s="138"/>
      <c r="O81" s="138"/>
      <c r="P81" s="138"/>
    </row>
    <row r="82">
      <c r="A82" s="138"/>
      <c r="B82" s="138"/>
      <c r="C82" s="138"/>
      <c r="D82" s="138"/>
      <c r="E82" s="138"/>
      <c r="F82" s="138"/>
      <c r="G82" s="138"/>
      <c r="H82" s="138"/>
      <c r="I82" s="138"/>
      <c r="J82" s="138"/>
      <c r="K82" s="138"/>
      <c r="L82" s="138"/>
      <c r="M82" s="138"/>
      <c r="N82" s="138"/>
      <c r="O82" s="138"/>
      <c r="P82" s="138"/>
    </row>
    <row r="83">
      <c r="A83" s="138"/>
      <c r="B83" s="138"/>
      <c r="C83" s="138"/>
      <c r="D83" s="138"/>
      <c r="E83" s="138"/>
      <c r="F83" s="138"/>
      <c r="G83" s="138"/>
      <c r="H83" s="138"/>
      <c r="I83" s="138"/>
      <c r="J83" s="138"/>
      <c r="K83" s="138"/>
      <c r="L83" s="138"/>
      <c r="M83" s="138"/>
      <c r="N83" s="138"/>
      <c r="O83" s="138"/>
      <c r="P83" s="138"/>
    </row>
    <row r="84">
      <c r="A84" s="138"/>
      <c r="B84" s="138"/>
      <c r="C84" s="138"/>
      <c r="D84" s="138"/>
      <c r="E84" s="138"/>
      <c r="F84" s="138"/>
      <c r="G84" s="138"/>
      <c r="H84" s="138"/>
      <c r="I84" s="138"/>
      <c r="J84" s="138"/>
      <c r="K84" s="138"/>
      <c r="L84" s="138"/>
      <c r="M84" s="138"/>
      <c r="N84" s="138"/>
      <c r="O84" s="138"/>
      <c r="P84" s="138"/>
    </row>
    <row r="85">
      <c r="A85" s="138"/>
      <c r="B85" s="138"/>
      <c r="C85" s="138"/>
      <c r="D85" s="138"/>
      <c r="E85" s="138"/>
      <c r="F85" s="138"/>
      <c r="G85" s="138"/>
      <c r="H85" s="138"/>
      <c r="I85" s="138"/>
      <c r="J85" s="138"/>
      <c r="K85" s="138"/>
      <c r="L85" s="138"/>
      <c r="M85" s="138"/>
      <c r="N85" s="138"/>
      <c r="O85" s="138"/>
      <c r="P85" s="138"/>
    </row>
    <row r="86">
      <c r="A86" s="138"/>
      <c r="B86" s="138"/>
      <c r="C86" s="138"/>
      <c r="D86" s="138"/>
      <c r="E86" s="138"/>
      <c r="F86" s="138"/>
      <c r="G86" s="138"/>
      <c r="H86" s="138"/>
      <c r="I86" s="138"/>
      <c r="J86" s="138"/>
      <c r="K86" s="138"/>
      <c r="L86" s="138"/>
      <c r="M86" s="138"/>
      <c r="N86" s="138"/>
      <c r="O86" s="138"/>
      <c r="P86" s="138"/>
    </row>
    <row r="87">
      <c r="A87" s="138"/>
      <c r="B87" s="138"/>
      <c r="C87" s="138"/>
      <c r="D87" s="138"/>
      <c r="E87" s="138"/>
      <c r="F87" s="138"/>
      <c r="G87" s="138"/>
      <c r="H87" s="138"/>
      <c r="I87" s="138"/>
      <c r="J87" s="138"/>
      <c r="K87" s="138"/>
      <c r="L87" s="138"/>
      <c r="M87" s="138"/>
      <c r="N87" s="138"/>
      <c r="O87" s="138"/>
      <c r="P87" s="138"/>
    </row>
    <row r="88">
      <c r="A88" s="138"/>
      <c r="B88" s="138"/>
      <c r="C88" s="138"/>
      <c r="D88" s="138"/>
      <c r="E88" s="138"/>
      <c r="F88" s="138"/>
      <c r="G88" s="138"/>
      <c r="H88" s="138"/>
      <c r="I88" s="138"/>
      <c r="J88" s="138"/>
      <c r="K88" s="138"/>
      <c r="L88" s="138"/>
      <c r="M88" s="138"/>
      <c r="N88" s="138"/>
      <c r="O88" s="138"/>
      <c r="P88" s="138"/>
    </row>
    <row r="89">
      <c r="A89" s="138"/>
      <c r="B89" s="138"/>
      <c r="C89" s="138"/>
      <c r="D89" s="138"/>
      <c r="E89" s="138"/>
      <c r="F89" s="138"/>
      <c r="G89" s="138"/>
      <c r="H89" s="138"/>
      <c r="I89" s="138"/>
      <c r="J89" s="138"/>
      <c r="K89" s="138"/>
      <c r="L89" s="138"/>
      <c r="M89" s="138"/>
      <c r="N89" s="138"/>
      <c r="O89" s="138"/>
      <c r="P89" s="138"/>
    </row>
    <row r="90">
      <c r="A90" s="138"/>
      <c r="B90" s="138"/>
      <c r="C90" s="138"/>
      <c r="D90" s="138"/>
      <c r="E90" s="138"/>
      <c r="F90" s="138"/>
      <c r="G90" s="138"/>
      <c r="H90" s="138"/>
      <c r="I90" s="138"/>
      <c r="J90" s="138"/>
      <c r="K90" s="138"/>
      <c r="L90" s="138"/>
      <c r="M90" s="138"/>
      <c r="N90" s="138"/>
      <c r="O90" s="138"/>
      <c r="P90" s="138"/>
    </row>
    <row r="91">
      <c r="A91" s="138"/>
      <c r="B91" s="138"/>
      <c r="C91" s="138"/>
      <c r="D91" s="138"/>
      <c r="E91" s="138"/>
      <c r="F91" s="138"/>
      <c r="G91" s="138"/>
      <c r="H91" s="138"/>
      <c r="I91" s="138"/>
      <c r="J91" s="138"/>
      <c r="K91" s="138"/>
      <c r="L91" s="138"/>
      <c r="M91" s="138"/>
      <c r="N91" s="138"/>
      <c r="O91" s="138"/>
      <c r="P91" s="138"/>
    </row>
    <row r="92">
      <c r="A92" s="138"/>
      <c r="B92" s="138"/>
      <c r="C92" s="138"/>
      <c r="D92" s="138"/>
      <c r="E92" s="138"/>
      <c r="F92" s="138"/>
      <c r="G92" s="138"/>
      <c r="H92" s="138"/>
      <c r="I92" s="138"/>
      <c r="J92" s="138"/>
      <c r="K92" s="138"/>
      <c r="L92" s="138"/>
      <c r="M92" s="138"/>
      <c r="N92" s="138"/>
      <c r="O92" s="138"/>
      <c r="P92" s="138"/>
    </row>
    <row r="93">
      <c r="A93" s="138"/>
      <c r="B93" s="138"/>
      <c r="C93" s="138"/>
      <c r="D93" s="138"/>
      <c r="E93" s="138"/>
      <c r="F93" s="138"/>
      <c r="G93" s="138"/>
      <c r="H93" s="138"/>
      <c r="I93" s="138"/>
      <c r="J93" s="138"/>
      <c r="K93" s="138"/>
      <c r="L93" s="138"/>
      <c r="M93" s="138"/>
      <c r="N93" s="138"/>
      <c r="O93" s="138"/>
      <c r="P93" s="138"/>
    </row>
    <row r="94">
      <c r="A94" s="138"/>
      <c r="B94" s="138"/>
      <c r="C94" s="138"/>
      <c r="D94" s="138"/>
      <c r="E94" s="138"/>
      <c r="F94" s="138"/>
      <c r="G94" s="138"/>
      <c r="H94" s="138"/>
      <c r="I94" s="138"/>
      <c r="J94" s="138"/>
      <c r="K94" s="138"/>
      <c r="L94" s="138"/>
      <c r="M94" s="138"/>
      <c r="N94" s="138"/>
      <c r="O94" s="138"/>
      <c r="P94" s="138"/>
    </row>
    <row r="95">
      <c r="A95" s="138"/>
      <c r="B95" s="138"/>
      <c r="C95" s="138"/>
      <c r="D95" s="138"/>
      <c r="E95" s="138"/>
      <c r="F95" s="138"/>
      <c r="G95" s="138"/>
      <c r="H95" s="138"/>
      <c r="I95" s="138"/>
      <c r="J95" s="138"/>
      <c r="K95" s="138"/>
      <c r="L95" s="138"/>
      <c r="M95" s="138"/>
      <c r="N95" s="138"/>
      <c r="O95" s="138"/>
      <c r="P95" s="138"/>
    </row>
    <row r="96">
      <c r="A96" s="138"/>
      <c r="B96" s="138"/>
      <c r="C96" s="138"/>
      <c r="D96" s="138"/>
      <c r="E96" s="138"/>
      <c r="F96" s="138"/>
      <c r="G96" s="138"/>
      <c r="H96" s="138"/>
      <c r="I96" s="138"/>
      <c r="J96" s="138"/>
      <c r="K96" s="138"/>
      <c r="L96" s="138"/>
      <c r="M96" s="138"/>
      <c r="N96" s="138"/>
      <c r="O96" s="138"/>
      <c r="P96" s="138"/>
    </row>
    <row r="97">
      <c r="A97" s="138"/>
      <c r="B97" s="138"/>
      <c r="C97" s="138"/>
      <c r="D97" s="138"/>
      <c r="E97" s="138"/>
      <c r="F97" s="138"/>
      <c r="G97" s="138"/>
      <c r="H97" s="138"/>
      <c r="I97" s="138"/>
      <c r="J97" s="138"/>
      <c r="K97" s="138"/>
      <c r="L97" s="138"/>
      <c r="M97" s="138"/>
      <c r="N97" s="138"/>
      <c r="O97" s="138"/>
      <c r="P97" s="138"/>
    </row>
    <row r="98">
      <c r="A98" s="138"/>
      <c r="B98" s="138"/>
      <c r="C98" s="138"/>
      <c r="D98" s="138"/>
      <c r="E98" s="138"/>
      <c r="F98" s="138"/>
      <c r="G98" s="138"/>
      <c r="H98" s="138"/>
      <c r="I98" s="138"/>
      <c r="J98" s="138"/>
      <c r="K98" s="138"/>
      <c r="L98" s="138"/>
      <c r="M98" s="138"/>
      <c r="N98" s="138"/>
      <c r="O98" s="138"/>
      <c r="P98" s="138"/>
    </row>
    <row r="99">
      <c r="A99" s="138"/>
      <c r="B99" s="138"/>
      <c r="C99" s="138"/>
      <c r="D99" s="138"/>
      <c r="E99" s="138"/>
      <c r="F99" s="138"/>
      <c r="G99" s="138"/>
      <c r="H99" s="138"/>
      <c r="I99" s="138"/>
      <c r="J99" s="138"/>
      <c r="K99" s="138"/>
      <c r="L99" s="138"/>
      <c r="M99" s="138"/>
      <c r="N99" s="138"/>
      <c r="O99" s="138"/>
      <c r="P99" s="138"/>
    </row>
    <row r="100">
      <c r="A100" s="138"/>
      <c r="B100" s="138"/>
      <c r="C100" s="138"/>
      <c r="D100" s="138"/>
      <c r="E100" s="138"/>
      <c r="F100" s="138"/>
      <c r="G100" s="138"/>
      <c r="H100" s="138"/>
      <c r="I100" s="138"/>
      <c r="J100" s="138"/>
      <c r="K100" s="138"/>
      <c r="L100" s="138"/>
      <c r="M100" s="138"/>
      <c r="N100" s="138"/>
      <c r="O100" s="138"/>
      <c r="P100" s="138"/>
    </row>
    <row r="101">
      <c r="A101" s="138"/>
      <c r="B101" s="138"/>
      <c r="C101" s="138"/>
      <c r="D101" s="138"/>
      <c r="E101" s="138"/>
      <c r="F101" s="138"/>
      <c r="G101" s="138"/>
      <c r="H101" s="138"/>
      <c r="I101" s="138"/>
      <c r="J101" s="138"/>
      <c r="K101" s="138"/>
      <c r="L101" s="138"/>
      <c r="M101" s="138"/>
      <c r="N101" s="138"/>
      <c r="O101" s="138"/>
      <c r="P101" s="138"/>
    </row>
    <row r="102">
      <c r="A102" s="138"/>
      <c r="B102" s="138"/>
      <c r="C102" s="138"/>
      <c r="D102" s="138"/>
      <c r="E102" s="138"/>
      <c r="F102" s="138"/>
      <c r="G102" s="138"/>
      <c r="H102" s="138"/>
      <c r="I102" s="138"/>
      <c r="J102" s="138"/>
      <c r="K102" s="138"/>
      <c r="L102" s="138"/>
      <c r="M102" s="138"/>
      <c r="N102" s="138"/>
      <c r="O102" s="138"/>
      <c r="P102" s="138"/>
    </row>
    <row r="103">
      <c r="A103" s="138"/>
      <c r="B103" s="138"/>
      <c r="C103" s="138"/>
      <c r="D103" s="138"/>
      <c r="E103" s="138"/>
      <c r="F103" s="138"/>
      <c r="G103" s="138"/>
      <c r="H103" s="138"/>
      <c r="I103" s="138"/>
      <c r="J103" s="138"/>
      <c r="K103" s="138"/>
      <c r="L103" s="138"/>
      <c r="M103" s="138"/>
      <c r="N103" s="138"/>
      <c r="O103" s="138"/>
      <c r="P103" s="138"/>
    </row>
    <row r="104">
      <c r="A104" s="138"/>
      <c r="B104" s="138"/>
      <c r="C104" s="138"/>
      <c r="D104" s="138"/>
      <c r="E104" s="138"/>
      <c r="F104" s="138"/>
      <c r="G104" s="138"/>
      <c r="H104" s="138"/>
      <c r="I104" s="138"/>
      <c r="J104" s="138"/>
      <c r="K104" s="138"/>
      <c r="L104" s="138"/>
      <c r="M104" s="138"/>
      <c r="N104" s="138"/>
      <c r="O104" s="138"/>
      <c r="P104" s="138"/>
    </row>
    <row r="105">
      <c r="A105" s="138"/>
      <c r="B105" s="138"/>
      <c r="C105" s="138"/>
      <c r="D105" s="138"/>
      <c r="E105" s="138"/>
      <c r="F105" s="138"/>
      <c r="G105" s="138"/>
      <c r="H105" s="138"/>
      <c r="I105" s="138"/>
      <c r="J105" s="138"/>
      <c r="K105" s="138"/>
      <c r="L105" s="138"/>
      <c r="M105" s="138"/>
      <c r="N105" s="138"/>
      <c r="O105" s="138"/>
      <c r="P105" s="138"/>
    </row>
    <row r="106">
      <c r="A106" s="138"/>
      <c r="B106" s="138"/>
      <c r="C106" s="138"/>
      <c r="D106" s="138"/>
      <c r="E106" s="138"/>
      <c r="F106" s="138"/>
      <c r="G106" s="138"/>
      <c r="H106" s="138"/>
      <c r="I106" s="138"/>
      <c r="J106" s="138"/>
      <c r="K106" s="138"/>
      <c r="L106" s="138"/>
      <c r="M106" s="138"/>
      <c r="N106" s="138"/>
      <c r="O106" s="138"/>
      <c r="P106" s="138"/>
    </row>
    <row r="107">
      <c r="A107" s="138"/>
      <c r="B107" s="138"/>
      <c r="C107" s="138"/>
      <c r="D107" s="138"/>
      <c r="E107" s="138"/>
      <c r="F107" s="138"/>
      <c r="G107" s="138"/>
      <c r="H107" s="138"/>
      <c r="I107" s="138"/>
      <c r="J107" s="138"/>
      <c r="K107" s="138"/>
      <c r="L107" s="138"/>
      <c r="M107" s="138"/>
      <c r="N107" s="138"/>
      <c r="O107" s="138"/>
      <c r="P107" s="138"/>
    </row>
    <row r="108">
      <c r="A108" s="138"/>
      <c r="B108" s="138"/>
      <c r="C108" s="138"/>
      <c r="D108" s="138"/>
      <c r="E108" s="138"/>
      <c r="F108" s="138"/>
      <c r="G108" s="138"/>
      <c r="H108" s="138"/>
      <c r="I108" s="138"/>
      <c r="J108" s="138"/>
      <c r="K108" s="138"/>
      <c r="L108" s="138"/>
      <c r="M108" s="138"/>
      <c r="N108" s="138"/>
      <c r="O108" s="138"/>
      <c r="P108" s="138"/>
    </row>
    <row r="109">
      <c r="A109" s="138"/>
      <c r="B109" s="138"/>
      <c r="C109" s="138"/>
      <c r="D109" s="138"/>
      <c r="E109" s="138"/>
      <c r="F109" s="138"/>
      <c r="G109" s="138"/>
      <c r="H109" s="138"/>
      <c r="I109" s="138"/>
      <c r="J109" s="138"/>
      <c r="K109" s="138"/>
      <c r="L109" s="138"/>
      <c r="M109" s="138"/>
      <c r="N109" s="138"/>
      <c r="O109" s="138"/>
      <c r="P109" s="138"/>
    </row>
    <row r="110">
      <c r="A110" s="138"/>
      <c r="B110" s="138"/>
      <c r="C110" s="138"/>
      <c r="D110" s="138"/>
      <c r="E110" s="138"/>
      <c r="F110" s="138"/>
      <c r="G110" s="138"/>
      <c r="H110" s="138"/>
      <c r="I110" s="138"/>
      <c r="J110" s="138"/>
      <c r="K110" s="138"/>
      <c r="L110" s="138"/>
      <c r="M110" s="138"/>
      <c r="N110" s="138"/>
      <c r="O110" s="138"/>
      <c r="P110" s="138"/>
    </row>
    <row r="111">
      <c r="A111" s="138"/>
      <c r="B111" s="138"/>
      <c r="C111" s="138"/>
      <c r="D111" s="138"/>
      <c r="E111" s="138"/>
      <c r="F111" s="138"/>
      <c r="G111" s="138"/>
      <c r="H111" s="138"/>
      <c r="I111" s="138"/>
      <c r="J111" s="138"/>
      <c r="K111" s="138"/>
      <c r="L111" s="138"/>
      <c r="M111" s="138"/>
      <c r="N111" s="138"/>
      <c r="O111" s="138"/>
      <c r="P111" s="138"/>
    </row>
    <row r="112">
      <c r="A112" s="138"/>
      <c r="B112" s="138"/>
      <c r="C112" s="138"/>
      <c r="D112" s="138"/>
      <c r="E112" s="138"/>
      <c r="F112" s="138"/>
      <c r="G112" s="138"/>
      <c r="H112" s="138"/>
      <c r="I112" s="138"/>
      <c r="J112" s="138"/>
      <c r="K112" s="138"/>
      <c r="L112" s="138"/>
      <c r="M112" s="138"/>
      <c r="N112" s="138"/>
      <c r="O112" s="138"/>
      <c r="P112" s="138"/>
    </row>
    <row r="113">
      <c r="A113" s="138"/>
      <c r="B113" s="138"/>
      <c r="C113" s="138"/>
      <c r="D113" s="138"/>
      <c r="E113" s="138"/>
      <c r="F113" s="138"/>
      <c r="G113" s="138"/>
      <c r="H113" s="138"/>
      <c r="I113" s="138"/>
      <c r="J113" s="138"/>
      <c r="K113" s="138"/>
      <c r="L113" s="138"/>
      <c r="M113" s="138"/>
      <c r="N113" s="138"/>
      <c r="O113" s="138"/>
      <c r="P113" s="138"/>
    </row>
    <row r="114">
      <c r="A114" s="138"/>
      <c r="B114" s="138"/>
      <c r="C114" s="138"/>
      <c r="D114" s="138"/>
      <c r="E114" s="138"/>
      <c r="F114" s="138"/>
      <c r="G114" s="138"/>
      <c r="H114" s="138"/>
      <c r="I114" s="138"/>
      <c r="J114" s="138"/>
      <c r="K114" s="138"/>
      <c r="L114" s="138"/>
      <c r="M114" s="138"/>
      <c r="N114" s="138"/>
      <c r="O114" s="138"/>
      <c r="P114" s="138"/>
    </row>
    <row r="115">
      <c r="A115" s="138"/>
      <c r="B115" s="138"/>
      <c r="C115" s="138"/>
      <c r="D115" s="138"/>
      <c r="E115" s="138"/>
      <c r="F115" s="138"/>
      <c r="G115" s="138"/>
      <c r="H115" s="138"/>
      <c r="I115" s="138"/>
      <c r="J115" s="138"/>
      <c r="K115" s="138"/>
      <c r="L115" s="138"/>
      <c r="M115" s="138"/>
      <c r="N115" s="138"/>
      <c r="O115" s="138"/>
      <c r="P115" s="138"/>
    </row>
    <row r="116">
      <c r="A116" s="138"/>
      <c r="B116" s="138"/>
      <c r="C116" s="138"/>
      <c r="D116" s="138"/>
      <c r="E116" s="138"/>
      <c r="F116" s="138"/>
      <c r="G116" s="138"/>
      <c r="H116" s="138"/>
      <c r="I116" s="138"/>
      <c r="J116" s="138"/>
      <c r="K116" s="138"/>
      <c r="L116" s="138"/>
      <c r="M116" s="138"/>
      <c r="N116" s="138"/>
      <c r="O116" s="138"/>
      <c r="P116" s="138"/>
    </row>
    <row r="117">
      <c r="A117" s="138"/>
      <c r="B117" s="138"/>
      <c r="C117" s="138"/>
      <c r="D117" s="138"/>
      <c r="E117" s="138"/>
      <c r="F117" s="138"/>
      <c r="G117" s="138"/>
      <c r="H117" s="138"/>
      <c r="I117" s="138"/>
      <c r="J117" s="138"/>
      <c r="K117" s="138"/>
      <c r="L117" s="138"/>
      <c r="M117" s="138"/>
      <c r="N117" s="138"/>
      <c r="O117" s="138"/>
      <c r="P117" s="138"/>
    </row>
    <row r="118">
      <c r="A118" s="138"/>
      <c r="B118" s="138"/>
      <c r="C118" s="138"/>
      <c r="D118" s="138"/>
      <c r="E118" s="138"/>
      <c r="F118" s="138"/>
      <c r="G118" s="138"/>
      <c r="H118" s="138"/>
      <c r="I118" s="138"/>
      <c r="J118" s="138"/>
      <c r="K118" s="138"/>
      <c r="L118" s="138"/>
      <c r="M118" s="138"/>
      <c r="N118" s="138"/>
      <c r="O118" s="138"/>
      <c r="P118" s="138"/>
    </row>
    <row r="119">
      <c r="A119" s="138"/>
      <c r="B119" s="138"/>
      <c r="C119" s="138"/>
      <c r="D119" s="138"/>
      <c r="E119" s="138"/>
      <c r="F119" s="138"/>
      <c r="G119" s="138"/>
      <c r="H119" s="138"/>
      <c r="I119" s="138"/>
      <c r="J119" s="138"/>
      <c r="K119" s="138"/>
      <c r="L119" s="138"/>
      <c r="M119" s="138"/>
      <c r="N119" s="138"/>
      <c r="O119" s="138"/>
      <c r="P119" s="138"/>
    </row>
    <row r="120">
      <c r="A120" s="138"/>
      <c r="B120" s="138"/>
      <c r="C120" s="138"/>
      <c r="D120" s="138"/>
      <c r="E120" s="138"/>
      <c r="F120" s="138"/>
      <c r="G120" s="138"/>
      <c r="H120" s="138"/>
      <c r="I120" s="138"/>
      <c r="J120" s="138"/>
      <c r="K120" s="138"/>
      <c r="L120" s="138"/>
      <c r="M120" s="138"/>
      <c r="N120" s="138"/>
      <c r="O120" s="138"/>
      <c r="P120" s="138"/>
    </row>
    <row r="121">
      <c r="A121" s="138"/>
      <c r="B121" s="138"/>
      <c r="C121" s="138"/>
      <c r="D121" s="138"/>
      <c r="E121" s="138"/>
      <c r="F121" s="138"/>
      <c r="G121" s="138"/>
      <c r="H121" s="138"/>
      <c r="I121" s="138"/>
      <c r="J121" s="138"/>
      <c r="K121" s="138"/>
      <c r="L121" s="138"/>
      <c r="M121" s="138"/>
      <c r="N121" s="138"/>
      <c r="O121" s="138"/>
      <c r="P121" s="138"/>
    </row>
    <row r="122">
      <c r="A122" s="138"/>
      <c r="B122" s="138"/>
      <c r="C122" s="138"/>
      <c r="D122" s="138"/>
      <c r="E122" s="138"/>
      <c r="F122" s="138"/>
      <c r="G122" s="138"/>
      <c r="H122" s="138"/>
      <c r="I122" s="138"/>
      <c r="J122" s="138"/>
      <c r="K122" s="138"/>
      <c r="L122" s="138"/>
      <c r="M122" s="138"/>
      <c r="N122" s="138"/>
      <c r="O122" s="138"/>
      <c r="P122" s="138"/>
    </row>
    <row r="123">
      <c r="A123" s="138"/>
      <c r="B123" s="138"/>
      <c r="C123" s="138"/>
      <c r="D123" s="138"/>
      <c r="E123" s="138"/>
      <c r="F123" s="138"/>
      <c r="G123" s="138"/>
      <c r="H123" s="138"/>
      <c r="I123" s="138"/>
      <c r="J123" s="138"/>
      <c r="K123" s="138"/>
      <c r="L123" s="138"/>
      <c r="M123" s="138"/>
      <c r="N123" s="138"/>
      <c r="O123" s="138"/>
      <c r="P123" s="138"/>
    </row>
    <row r="124">
      <c r="A124" s="138"/>
      <c r="B124" s="138"/>
      <c r="C124" s="138"/>
      <c r="D124" s="138"/>
      <c r="E124" s="138"/>
      <c r="F124" s="138"/>
      <c r="G124" s="138"/>
      <c r="H124" s="138"/>
      <c r="I124" s="138"/>
      <c r="J124" s="138"/>
      <c r="K124" s="138"/>
      <c r="L124" s="138"/>
      <c r="M124" s="138"/>
      <c r="N124" s="138"/>
      <c r="O124" s="138"/>
      <c r="P124" s="138"/>
    </row>
    <row r="125">
      <c r="A125" s="138"/>
      <c r="B125" s="138"/>
      <c r="C125" s="138"/>
      <c r="D125" s="138"/>
      <c r="E125" s="138"/>
      <c r="F125" s="138"/>
      <c r="G125" s="138"/>
      <c r="H125" s="138"/>
      <c r="I125" s="138"/>
      <c r="J125" s="138"/>
      <c r="K125" s="138"/>
      <c r="L125" s="138"/>
      <c r="M125" s="138"/>
      <c r="N125" s="138"/>
      <c r="O125" s="138"/>
      <c r="P125" s="138"/>
    </row>
    <row r="126">
      <c r="A126" s="138"/>
      <c r="B126" s="138"/>
      <c r="C126" s="138"/>
      <c r="D126" s="138"/>
      <c r="E126" s="138"/>
      <c r="F126" s="138"/>
      <c r="G126" s="138"/>
      <c r="H126" s="138"/>
      <c r="I126" s="138"/>
      <c r="J126" s="138"/>
      <c r="K126" s="138"/>
      <c r="L126" s="138"/>
      <c r="M126" s="138"/>
      <c r="N126" s="138"/>
      <c r="O126" s="138"/>
      <c r="P126" s="138"/>
    </row>
    <row r="127">
      <c r="A127" s="138"/>
      <c r="B127" s="138"/>
      <c r="C127" s="138"/>
      <c r="D127" s="138"/>
      <c r="E127" s="138"/>
      <c r="F127" s="138"/>
      <c r="G127" s="138"/>
      <c r="H127" s="138"/>
      <c r="I127" s="138"/>
      <c r="J127" s="138"/>
      <c r="K127" s="138"/>
      <c r="L127" s="138"/>
      <c r="M127" s="138"/>
      <c r="N127" s="138"/>
      <c r="O127" s="138"/>
      <c r="P127" s="138"/>
    </row>
    <row r="128">
      <c r="A128" s="138"/>
      <c r="B128" s="138"/>
      <c r="C128" s="138"/>
      <c r="D128" s="138"/>
      <c r="E128" s="138"/>
      <c r="F128" s="138"/>
      <c r="G128" s="138"/>
      <c r="H128" s="138"/>
      <c r="I128" s="138"/>
      <c r="J128" s="138"/>
      <c r="K128" s="138"/>
      <c r="L128" s="138"/>
      <c r="M128" s="138"/>
      <c r="N128" s="138"/>
      <c r="O128" s="138"/>
      <c r="P128" s="138"/>
    </row>
    <row r="129">
      <c r="A129" s="138"/>
      <c r="B129" s="138"/>
      <c r="C129" s="138"/>
      <c r="D129" s="138"/>
      <c r="E129" s="138"/>
      <c r="F129" s="138"/>
      <c r="G129" s="138"/>
      <c r="H129" s="138"/>
      <c r="I129" s="138"/>
      <c r="J129" s="138"/>
      <c r="K129" s="138"/>
      <c r="L129" s="138"/>
      <c r="M129" s="138"/>
      <c r="N129" s="138"/>
      <c r="O129" s="138"/>
      <c r="P129" s="138"/>
    </row>
    <row r="130">
      <c r="A130" s="138"/>
      <c r="B130" s="138"/>
      <c r="C130" s="138"/>
      <c r="D130" s="138"/>
      <c r="E130" s="138"/>
      <c r="F130" s="138"/>
      <c r="G130" s="138"/>
      <c r="H130" s="138"/>
      <c r="I130" s="138"/>
      <c r="J130" s="138"/>
      <c r="K130" s="138"/>
      <c r="L130" s="138"/>
      <c r="M130" s="138"/>
      <c r="N130" s="138"/>
      <c r="O130" s="138"/>
      <c r="P130" s="138"/>
    </row>
    <row r="131">
      <c r="A131" s="138"/>
      <c r="B131" s="138"/>
      <c r="C131" s="138"/>
      <c r="D131" s="138"/>
      <c r="E131" s="138"/>
      <c r="F131" s="138"/>
      <c r="G131" s="138"/>
      <c r="H131" s="138"/>
      <c r="I131" s="138"/>
      <c r="J131" s="138"/>
      <c r="K131" s="138"/>
      <c r="L131" s="138"/>
      <c r="M131" s="138"/>
      <c r="N131" s="138"/>
      <c r="O131" s="138"/>
      <c r="P131" s="138"/>
    </row>
    <row r="132">
      <c r="A132" s="138"/>
      <c r="B132" s="138"/>
      <c r="C132" s="138"/>
      <c r="D132" s="138"/>
      <c r="E132" s="138"/>
      <c r="F132" s="138"/>
      <c r="G132" s="138"/>
      <c r="H132" s="138"/>
      <c r="I132" s="138"/>
      <c r="J132" s="138"/>
      <c r="K132" s="138"/>
      <c r="L132" s="138"/>
      <c r="M132" s="138"/>
      <c r="N132" s="138"/>
      <c r="O132" s="138"/>
      <c r="P132" s="138"/>
    </row>
    <row r="133">
      <c r="A133" s="138"/>
      <c r="B133" s="138"/>
      <c r="C133" s="138"/>
      <c r="D133" s="138"/>
      <c r="E133" s="138"/>
      <c r="F133" s="138"/>
      <c r="G133" s="138"/>
      <c r="H133" s="138"/>
      <c r="I133" s="138"/>
      <c r="J133" s="138"/>
      <c r="K133" s="138"/>
      <c r="L133" s="138"/>
      <c r="M133" s="138"/>
      <c r="N133" s="138"/>
      <c r="O133" s="138"/>
      <c r="P133" s="138"/>
    </row>
    <row r="134">
      <c r="A134" s="138"/>
      <c r="B134" s="138"/>
      <c r="C134" s="138"/>
      <c r="D134" s="138"/>
      <c r="E134" s="138"/>
      <c r="F134" s="138"/>
      <c r="G134" s="138"/>
      <c r="H134" s="138"/>
      <c r="I134" s="138"/>
      <c r="J134" s="138"/>
      <c r="K134" s="138"/>
      <c r="L134" s="138"/>
      <c r="M134" s="138"/>
      <c r="N134" s="138"/>
      <c r="O134" s="138"/>
      <c r="P134" s="138"/>
    </row>
    <row r="135">
      <c r="A135" s="138"/>
      <c r="B135" s="138"/>
      <c r="C135" s="138"/>
      <c r="D135" s="138"/>
      <c r="E135" s="138"/>
      <c r="F135" s="138"/>
      <c r="G135" s="138"/>
      <c r="H135" s="138"/>
      <c r="I135" s="138"/>
      <c r="J135" s="138"/>
      <c r="K135" s="138"/>
      <c r="L135" s="138"/>
      <c r="M135" s="138"/>
      <c r="N135" s="138"/>
      <c r="O135" s="138"/>
      <c r="P135" s="138"/>
    </row>
    <row r="136">
      <c r="A136" s="138"/>
      <c r="B136" s="138"/>
      <c r="C136" s="138"/>
      <c r="D136" s="138"/>
      <c r="E136" s="138"/>
      <c r="F136" s="138"/>
      <c r="G136" s="138"/>
      <c r="H136" s="138"/>
      <c r="I136" s="138"/>
      <c r="J136" s="138"/>
      <c r="K136" s="138"/>
      <c r="L136" s="138"/>
      <c r="M136" s="138"/>
      <c r="N136" s="138"/>
      <c r="O136" s="138"/>
      <c r="P136" s="138"/>
    </row>
    <row r="137">
      <c r="A137" s="138"/>
      <c r="B137" s="138"/>
      <c r="C137" s="138"/>
      <c r="D137" s="138"/>
      <c r="E137" s="138"/>
      <c r="F137" s="138"/>
      <c r="G137" s="138"/>
      <c r="H137" s="138"/>
      <c r="I137" s="138"/>
      <c r="J137" s="138"/>
      <c r="K137" s="138"/>
      <c r="L137" s="138"/>
      <c r="M137" s="138"/>
      <c r="N137" s="138"/>
      <c r="O137" s="138"/>
      <c r="P137" s="138"/>
    </row>
    <row r="138">
      <c r="A138" s="138"/>
      <c r="B138" s="138"/>
      <c r="C138" s="138"/>
      <c r="D138" s="138"/>
      <c r="E138" s="138"/>
      <c r="F138" s="138"/>
      <c r="G138" s="138"/>
      <c r="H138" s="138"/>
      <c r="I138" s="138"/>
      <c r="J138" s="138"/>
      <c r="K138" s="138"/>
      <c r="L138" s="138"/>
      <c r="M138" s="138"/>
      <c r="N138" s="138"/>
      <c r="O138" s="138"/>
      <c r="P138" s="138"/>
    </row>
    <row r="139">
      <c r="A139" s="138"/>
      <c r="B139" s="138"/>
      <c r="C139" s="138"/>
      <c r="D139" s="138"/>
      <c r="E139" s="138"/>
      <c r="F139" s="138"/>
      <c r="G139" s="138"/>
      <c r="H139" s="138"/>
      <c r="I139" s="138"/>
      <c r="J139" s="138"/>
      <c r="K139" s="138"/>
      <c r="L139" s="138"/>
      <c r="M139" s="138"/>
      <c r="N139" s="138"/>
      <c r="O139" s="138"/>
      <c r="P139" s="138"/>
    </row>
    <row r="140">
      <c r="A140" s="138"/>
      <c r="B140" s="138"/>
      <c r="C140" s="138"/>
      <c r="D140" s="138"/>
      <c r="E140" s="138"/>
      <c r="F140" s="138"/>
      <c r="G140" s="138"/>
      <c r="H140" s="138"/>
      <c r="I140" s="138"/>
      <c r="J140" s="138"/>
      <c r="K140" s="138"/>
      <c r="L140" s="138"/>
      <c r="M140" s="138"/>
      <c r="N140" s="138"/>
      <c r="O140" s="138"/>
      <c r="P140" s="138"/>
    </row>
    <row r="141">
      <c r="A141" s="138"/>
      <c r="B141" s="138"/>
      <c r="C141" s="138"/>
      <c r="D141" s="138"/>
      <c r="E141" s="138"/>
      <c r="F141" s="138"/>
      <c r="G141" s="138"/>
      <c r="H141" s="138"/>
      <c r="I141" s="138"/>
      <c r="J141" s="138"/>
      <c r="K141" s="138"/>
      <c r="L141" s="138"/>
      <c r="M141" s="138"/>
      <c r="N141" s="138"/>
      <c r="O141" s="138"/>
      <c r="P141" s="138"/>
    </row>
    <row r="142">
      <c r="A142" s="138"/>
      <c r="B142" s="138"/>
      <c r="C142" s="138"/>
      <c r="D142" s="138"/>
      <c r="E142" s="138"/>
      <c r="F142" s="138"/>
      <c r="G142" s="138"/>
      <c r="H142" s="138"/>
      <c r="I142" s="138"/>
      <c r="J142" s="138"/>
      <c r="K142" s="138"/>
      <c r="L142" s="138"/>
      <c r="M142" s="138"/>
      <c r="N142" s="138"/>
      <c r="O142" s="138"/>
      <c r="P142" s="138"/>
    </row>
    <row r="143">
      <c r="A143" s="138"/>
      <c r="B143" s="138"/>
      <c r="C143" s="138"/>
      <c r="D143" s="138"/>
      <c r="E143" s="138"/>
      <c r="F143" s="138"/>
      <c r="G143" s="138"/>
      <c r="H143" s="138"/>
      <c r="I143" s="138"/>
      <c r="J143" s="138"/>
      <c r="K143" s="138"/>
      <c r="L143" s="138"/>
      <c r="M143" s="138"/>
      <c r="N143" s="138"/>
      <c r="O143" s="138"/>
      <c r="P143" s="138"/>
    </row>
    <row r="144">
      <c r="A144" s="138"/>
      <c r="B144" s="138"/>
      <c r="C144" s="138"/>
      <c r="D144" s="138"/>
      <c r="E144" s="138"/>
      <c r="F144" s="138"/>
      <c r="G144" s="138"/>
      <c r="H144" s="138"/>
      <c r="I144" s="138"/>
      <c r="J144" s="138"/>
      <c r="K144" s="138"/>
      <c r="L144" s="138"/>
      <c r="M144" s="138"/>
      <c r="N144" s="138"/>
      <c r="O144" s="138"/>
      <c r="P144" s="138"/>
    </row>
    <row r="145">
      <c r="A145" s="138"/>
      <c r="B145" s="138"/>
      <c r="C145" s="138"/>
      <c r="D145" s="138"/>
      <c r="E145" s="138"/>
      <c r="F145" s="138"/>
      <c r="G145" s="138"/>
      <c r="H145" s="138"/>
      <c r="I145" s="138"/>
      <c r="J145" s="138"/>
      <c r="K145" s="138"/>
      <c r="L145" s="138"/>
      <c r="M145" s="138"/>
      <c r="N145" s="138"/>
      <c r="O145" s="138"/>
      <c r="P145" s="138"/>
    </row>
    <row r="146">
      <c r="A146" s="138"/>
      <c r="B146" s="138"/>
      <c r="C146" s="138"/>
      <c r="D146" s="138"/>
      <c r="E146" s="138"/>
      <c r="F146" s="138"/>
      <c r="G146" s="138"/>
      <c r="H146" s="138"/>
      <c r="I146" s="138"/>
      <c r="J146" s="138"/>
      <c r="K146" s="138"/>
      <c r="L146" s="138"/>
      <c r="M146" s="138"/>
      <c r="N146" s="138"/>
      <c r="O146" s="138"/>
      <c r="P146" s="138"/>
    </row>
    <row r="147">
      <c r="A147" s="138"/>
      <c r="B147" s="138"/>
      <c r="C147" s="138"/>
      <c r="D147" s="138"/>
      <c r="E147" s="138"/>
      <c r="F147" s="138"/>
      <c r="G147" s="138"/>
      <c r="H147" s="138"/>
      <c r="I147" s="138"/>
      <c r="J147" s="138"/>
      <c r="K147" s="138"/>
      <c r="L147" s="138"/>
      <c r="M147" s="138"/>
      <c r="N147" s="138"/>
      <c r="O147" s="138"/>
      <c r="P147" s="138"/>
    </row>
    <row r="148">
      <c r="A148" s="138"/>
      <c r="B148" s="138"/>
      <c r="C148" s="138"/>
      <c r="D148" s="138"/>
      <c r="E148" s="138"/>
      <c r="F148" s="138"/>
      <c r="G148" s="138"/>
      <c r="H148" s="138"/>
      <c r="I148" s="138"/>
      <c r="J148" s="138"/>
      <c r="K148" s="138"/>
      <c r="L148" s="138"/>
      <c r="M148" s="138"/>
      <c r="N148" s="138"/>
      <c r="O148" s="138"/>
      <c r="P148" s="138"/>
    </row>
    <row r="149">
      <c r="A149" s="138"/>
      <c r="B149" s="138"/>
      <c r="C149" s="138"/>
      <c r="D149" s="138"/>
      <c r="E149" s="138"/>
      <c r="F149" s="138"/>
      <c r="G149" s="138"/>
      <c r="H149" s="138"/>
      <c r="I149" s="138"/>
      <c r="J149" s="138"/>
      <c r="K149" s="138"/>
      <c r="L149" s="138"/>
      <c r="M149" s="138"/>
      <c r="N149" s="138"/>
      <c r="O149" s="138"/>
      <c r="P149" s="138"/>
    </row>
    <row r="150">
      <c r="A150" s="138"/>
      <c r="B150" s="138"/>
      <c r="C150" s="138"/>
      <c r="D150" s="138"/>
      <c r="E150" s="138"/>
      <c r="F150" s="138"/>
      <c r="G150" s="138"/>
      <c r="H150" s="138"/>
      <c r="I150" s="138"/>
      <c r="J150" s="138"/>
      <c r="K150" s="138"/>
      <c r="L150" s="138"/>
      <c r="M150" s="138"/>
      <c r="N150" s="138"/>
      <c r="O150" s="138"/>
      <c r="P150" s="138"/>
    </row>
    <row r="151">
      <c r="A151" s="138"/>
      <c r="B151" s="138"/>
      <c r="C151" s="138"/>
      <c r="D151" s="138"/>
      <c r="E151" s="138"/>
      <c r="F151" s="138"/>
      <c r="G151" s="138"/>
      <c r="H151" s="138"/>
      <c r="I151" s="138"/>
      <c r="J151" s="138"/>
      <c r="K151" s="138"/>
      <c r="L151" s="138"/>
      <c r="M151" s="138"/>
      <c r="N151" s="138"/>
      <c r="O151" s="138"/>
      <c r="P151" s="138"/>
    </row>
    <row r="152">
      <c r="A152" s="138"/>
      <c r="B152" s="138"/>
      <c r="C152" s="138"/>
      <c r="D152" s="138"/>
      <c r="E152" s="138"/>
      <c r="F152" s="138"/>
      <c r="G152" s="138"/>
      <c r="H152" s="138"/>
      <c r="I152" s="138"/>
      <c r="J152" s="138"/>
      <c r="K152" s="138"/>
      <c r="L152" s="138"/>
      <c r="M152" s="138"/>
      <c r="N152" s="138"/>
      <c r="O152" s="138"/>
      <c r="P152" s="138"/>
    </row>
    <row r="153">
      <c r="A153" s="138"/>
      <c r="B153" s="138"/>
      <c r="C153" s="138"/>
      <c r="D153" s="138"/>
      <c r="E153" s="138"/>
      <c r="F153" s="138"/>
      <c r="G153" s="138"/>
      <c r="H153" s="138"/>
      <c r="I153" s="138"/>
      <c r="J153" s="138"/>
      <c r="K153" s="138"/>
      <c r="L153" s="138"/>
      <c r="M153" s="138"/>
      <c r="N153" s="138"/>
      <c r="O153" s="138"/>
      <c r="P153" s="138"/>
    </row>
    <row r="154">
      <c r="A154" s="138"/>
      <c r="B154" s="138"/>
      <c r="C154" s="138"/>
      <c r="D154" s="138"/>
      <c r="E154" s="138"/>
      <c r="F154" s="138"/>
      <c r="G154" s="138"/>
      <c r="H154" s="138"/>
      <c r="I154" s="138"/>
      <c r="J154" s="138"/>
      <c r="K154" s="138"/>
      <c r="L154" s="138"/>
      <c r="M154" s="138"/>
      <c r="N154" s="138"/>
      <c r="O154" s="138"/>
      <c r="P154" s="138"/>
    </row>
    <row r="155">
      <c r="A155" s="138"/>
      <c r="B155" s="138"/>
      <c r="C155" s="138"/>
      <c r="D155" s="138"/>
      <c r="E155" s="138"/>
      <c r="F155" s="138"/>
      <c r="G155" s="138"/>
      <c r="H155" s="138"/>
      <c r="I155" s="138"/>
      <c r="J155" s="138"/>
      <c r="K155" s="138"/>
      <c r="L155" s="138"/>
      <c r="M155" s="138"/>
      <c r="N155" s="138"/>
      <c r="O155" s="138"/>
      <c r="P155" s="138"/>
    </row>
    <row r="156">
      <c r="A156" s="138"/>
      <c r="B156" s="138"/>
      <c r="C156" s="138"/>
      <c r="D156" s="138"/>
      <c r="E156" s="138"/>
      <c r="F156" s="138"/>
      <c r="G156" s="138"/>
      <c r="H156" s="138"/>
      <c r="I156" s="138"/>
      <c r="J156" s="138"/>
      <c r="K156" s="138"/>
      <c r="L156" s="138"/>
      <c r="M156" s="138"/>
      <c r="N156" s="138"/>
      <c r="O156" s="138"/>
      <c r="P156" s="138"/>
    </row>
    <row r="157">
      <c r="A157" s="138"/>
      <c r="B157" s="138"/>
      <c r="C157" s="138"/>
      <c r="D157" s="138"/>
      <c r="E157" s="138"/>
      <c r="F157" s="138"/>
      <c r="G157" s="138"/>
      <c r="H157" s="138"/>
      <c r="I157" s="138"/>
      <c r="J157" s="138"/>
      <c r="K157" s="138"/>
      <c r="L157" s="138"/>
      <c r="M157" s="138"/>
      <c r="N157" s="138"/>
      <c r="O157" s="138"/>
      <c r="P157" s="138"/>
    </row>
    <row r="158">
      <c r="A158" s="138"/>
      <c r="B158" s="138"/>
      <c r="C158" s="138"/>
      <c r="D158" s="138"/>
      <c r="E158" s="138"/>
      <c r="F158" s="138"/>
      <c r="G158" s="138"/>
      <c r="H158" s="138"/>
      <c r="I158" s="138"/>
      <c r="J158" s="138"/>
      <c r="K158" s="138"/>
      <c r="L158" s="138"/>
      <c r="M158" s="138"/>
      <c r="N158" s="138"/>
      <c r="O158" s="138"/>
      <c r="P158" s="138"/>
    </row>
    <row r="159">
      <c r="A159" s="138"/>
      <c r="B159" s="138"/>
      <c r="C159" s="138"/>
      <c r="D159" s="138"/>
      <c r="E159" s="138"/>
      <c r="F159" s="138"/>
      <c r="G159" s="138"/>
      <c r="H159" s="138"/>
      <c r="I159" s="138"/>
      <c r="J159" s="138"/>
      <c r="K159" s="138"/>
      <c r="L159" s="138"/>
      <c r="M159" s="138"/>
      <c r="N159" s="138"/>
      <c r="O159" s="138"/>
      <c r="P159" s="138"/>
    </row>
    <row r="160">
      <c r="A160" s="138"/>
      <c r="B160" s="138"/>
      <c r="C160" s="138"/>
      <c r="D160" s="138"/>
      <c r="E160" s="138"/>
      <c r="F160" s="138"/>
      <c r="G160" s="138"/>
      <c r="H160" s="138"/>
      <c r="I160" s="138"/>
      <c r="J160" s="138"/>
      <c r="K160" s="138"/>
      <c r="L160" s="138"/>
      <c r="M160" s="138"/>
      <c r="N160" s="138"/>
      <c r="O160" s="138"/>
      <c r="P160" s="138"/>
    </row>
    <row r="161">
      <c r="A161" s="138"/>
      <c r="B161" s="138"/>
      <c r="C161" s="138"/>
      <c r="D161" s="138"/>
      <c r="E161" s="138"/>
      <c r="F161" s="138"/>
      <c r="G161" s="138"/>
      <c r="H161" s="138"/>
      <c r="I161" s="138"/>
      <c r="J161" s="138"/>
      <c r="K161" s="138"/>
      <c r="L161" s="138"/>
      <c r="M161" s="138"/>
      <c r="N161" s="138"/>
      <c r="O161" s="138"/>
      <c r="P161" s="138"/>
    </row>
    <row r="162">
      <c r="A162" s="138"/>
      <c r="B162" s="138"/>
      <c r="C162" s="138"/>
      <c r="D162" s="138"/>
      <c r="E162" s="138"/>
      <c r="F162" s="138"/>
      <c r="G162" s="138"/>
      <c r="H162" s="138"/>
      <c r="I162" s="138"/>
      <c r="J162" s="138"/>
      <c r="K162" s="138"/>
      <c r="L162" s="138"/>
      <c r="M162" s="138"/>
      <c r="N162" s="138"/>
      <c r="O162" s="138"/>
      <c r="P162" s="138"/>
    </row>
    <row r="163">
      <c r="A163" s="138"/>
      <c r="B163" s="138"/>
      <c r="C163" s="138"/>
      <c r="D163" s="138"/>
      <c r="E163" s="138"/>
      <c r="F163" s="138"/>
      <c r="G163" s="138"/>
      <c r="H163" s="138"/>
      <c r="I163" s="138"/>
      <c r="J163" s="138"/>
      <c r="K163" s="138"/>
      <c r="L163" s="138"/>
      <c r="M163" s="138"/>
      <c r="N163" s="138"/>
      <c r="O163" s="138"/>
      <c r="P163" s="138"/>
    </row>
    <row r="164">
      <c r="A164" s="138"/>
      <c r="B164" s="138"/>
      <c r="C164" s="138"/>
      <c r="D164" s="138"/>
      <c r="E164" s="138"/>
      <c r="F164" s="138"/>
      <c r="G164" s="138"/>
      <c r="H164" s="138"/>
      <c r="I164" s="138"/>
      <c r="J164" s="138"/>
      <c r="K164" s="138"/>
      <c r="L164" s="138"/>
      <c r="M164" s="138"/>
      <c r="N164" s="138"/>
      <c r="O164" s="138"/>
      <c r="P164" s="138"/>
    </row>
    <row r="165">
      <c r="A165" s="138"/>
      <c r="B165" s="138"/>
      <c r="C165" s="138"/>
      <c r="D165" s="138"/>
      <c r="E165" s="138"/>
      <c r="F165" s="138"/>
      <c r="G165" s="138"/>
      <c r="H165" s="138"/>
      <c r="I165" s="138"/>
      <c r="J165" s="138"/>
      <c r="K165" s="138"/>
      <c r="L165" s="138"/>
      <c r="M165" s="138"/>
      <c r="N165" s="138"/>
      <c r="O165" s="138"/>
      <c r="P165" s="138"/>
    </row>
    <row r="166">
      <c r="A166" s="138"/>
      <c r="B166" s="138"/>
      <c r="C166" s="138"/>
      <c r="D166" s="138"/>
      <c r="E166" s="138"/>
      <c r="F166" s="138"/>
      <c r="G166" s="138"/>
      <c r="H166" s="138"/>
      <c r="I166" s="138"/>
      <c r="J166" s="138"/>
      <c r="K166" s="138"/>
      <c r="L166" s="138"/>
      <c r="M166" s="138"/>
      <c r="N166" s="138"/>
      <c r="O166" s="138"/>
      <c r="P166" s="138"/>
    </row>
    <row r="167">
      <c r="A167" s="138"/>
      <c r="B167" s="138"/>
      <c r="C167" s="138"/>
      <c r="D167" s="138"/>
      <c r="E167" s="138"/>
      <c r="F167" s="138"/>
      <c r="G167" s="138"/>
      <c r="H167" s="138"/>
      <c r="I167" s="138"/>
      <c r="J167" s="138"/>
      <c r="K167" s="138"/>
      <c r="L167" s="138"/>
      <c r="M167" s="138"/>
      <c r="N167" s="138"/>
      <c r="O167" s="138"/>
      <c r="P167" s="138"/>
    </row>
    <row r="168">
      <c r="A168" s="138"/>
      <c r="B168" s="138"/>
      <c r="C168" s="138"/>
      <c r="D168" s="138"/>
      <c r="E168" s="138"/>
      <c r="F168" s="138"/>
      <c r="G168" s="138"/>
      <c r="H168" s="138"/>
      <c r="I168" s="138"/>
      <c r="J168" s="138"/>
      <c r="K168" s="138"/>
      <c r="L168" s="138"/>
      <c r="M168" s="138"/>
      <c r="N168" s="138"/>
      <c r="O168" s="138"/>
      <c r="P168" s="138"/>
    </row>
    <row r="169">
      <c r="A169" s="138"/>
      <c r="B169" s="138"/>
      <c r="C169" s="138"/>
      <c r="D169" s="138"/>
      <c r="E169" s="138"/>
      <c r="F169" s="138"/>
      <c r="G169" s="138"/>
      <c r="H169" s="138"/>
      <c r="I169" s="138"/>
      <c r="J169" s="138"/>
      <c r="K169" s="138"/>
      <c r="L169" s="138"/>
      <c r="M169" s="138"/>
      <c r="N169" s="138"/>
      <c r="O169" s="138"/>
      <c r="P169" s="138"/>
    </row>
    <row r="170">
      <c r="A170" s="138"/>
      <c r="B170" s="138"/>
      <c r="C170" s="138"/>
      <c r="D170" s="138"/>
      <c r="E170" s="138"/>
      <c r="F170" s="138"/>
      <c r="G170" s="138"/>
      <c r="H170" s="138"/>
      <c r="I170" s="138"/>
      <c r="J170" s="138"/>
      <c r="K170" s="138"/>
      <c r="L170" s="138"/>
      <c r="M170" s="138"/>
      <c r="N170" s="138"/>
      <c r="O170" s="138"/>
      <c r="P170" s="138"/>
    </row>
    <row r="171">
      <c r="A171" s="138"/>
      <c r="B171" s="138"/>
      <c r="C171" s="138"/>
      <c r="D171" s="138"/>
      <c r="E171" s="138"/>
      <c r="F171" s="138"/>
      <c r="G171" s="138"/>
      <c r="H171" s="138"/>
      <c r="I171" s="138"/>
      <c r="J171" s="138"/>
      <c r="K171" s="138"/>
      <c r="L171" s="138"/>
      <c r="M171" s="138"/>
      <c r="N171" s="138"/>
      <c r="O171" s="138"/>
      <c r="P171" s="138"/>
    </row>
    <row r="172">
      <c r="A172" s="138"/>
      <c r="B172" s="138"/>
      <c r="C172" s="138"/>
      <c r="D172" s="138"/>
      <c r="E172" s="138"/>
      <c r="F172" s="138"/>
      <c r="G172" s="138"/>
      <c r="H172" s="138"/>
      <c r="I172" s="138"/>
      <c r="J172" s="138"/>
      <c r="K172" s="138"/>
      <c r="L172" s="138"/>
      <c r="M172" s="138"/>
      <c r="N172" s="138"/>
      <c r="O172" s="138"/>
      <c r="P172" s="138"/>
    </row>
    <row r="173">
      <c r="A173" s="138"/>
      <c r="B173" s="138"/>
      <c r="C173" s="138"/>
      <c r="D173" s="138"/>
      <c r="E173" s="138"/>
      <c r="F173" s="138"/>
      <c r="G173" s="138"/>
      <c r="H173" s="138"/>
      <c r="I173" s="138"/>
      <c r="J173" s="138"/>
      <c r="K173" s="138"/>
      <c r="L173" s="138"/>
      <c r="M173" s="138"/>
      <c r="N173" s="138"/>
      <c r="O173" s="138"/>
      <c r="P173" s="138"/>
    </row>
    <row r="174">
      <c r="A174" s="138"/>
      <c r="B174" s="138"/>
      <c r="C174" s="138"/>
      <c r="D174" s="138"/>
      <c r="E174" s="138"/>
      <c r="F174" s="138"/>
      <c r="G174" s="138"/>
      <c r="H174" s="138"/>
      <c r="I174" s="138"/>
      <c r="J174" s="138"/>
      <c r="K174" s="138"/>
      <c r="L174" s="138"/>
      <c r="M174" s="138"/>
      <c r="N174" s="138"/>
      <c r="O174" s="138"/>
      <c r="P174" s="138"/>
    </row>
    <row r="175">
      <c r="A175" s="138"/>
      <c r="B175" s="138"/>
      <c r="C175" s="138"/>
      <c r="D175" s="138"/>
      <c r="E175" s="138"/>
      <c r="F175" s="138"/>
      <c r="G175" s="138"/>
      <c r="H175" s="138"/>
      <c r="I175" s="138"/>
      <c r="J175" s="138"/>
      <c r="K175" s="138"/>
      <c r="L175" s="138"/>
      <c r="M175" s="138"/>
      <c r="N175" s="138"/>
      <c r="O175" s="138"/>
      <c r="P175" s="138"/>
    </row>
    <row r="176">
      <c r="A176" s="138"/>
      <c r="B176" s="138"/>
      <c r="C176" s="138"/>
      <c r="D176" s="138"/>
      <c r="E176" s="138"/>
      <c r="F176" s="138"/>
      <c r="G176" s="138"/>
      <c r="H176" s="138"/>
      <c r="I176" s="138"/>
      <c r="J176" s="138"/>
      <c r="K176" s="138"/>
      <c r="L176" s="138"/>
      <c r="M176" s="138"/>
      <c r="N176" s="138"/>
      <c r="O176" s="138"/>
      <c r="P176" s="138"/>
    </row>
    <row r="177">
      <c r="A177" s="138"/>
      <c r="B177" s="138"/>
      <c r="C177" s="138"/>
      <c r="D177" s="138"/>
      <c r="E177" s="138"/>
      <c r="F177" s="138"/>
      <c r="G177" s="138"/>
      <c r="H177" s="138"/>
      <c r="I177" s="138"/>
      <c r="J177" s="138"/>
      <c r="K177" s="138"/>
      <c r="L177" s="138"/>
      <c r="M177" s="138"/>
      <c r="N177" s="138"/>
      <c r="O177" s="138"/>
      <c r="P177" s="138"/>
    </row>
    <row r="178">
      <c r="A178" s="138"/>
      <c r="B178" s="138"/>
      <c r="C178" s="138"/>
      <c r="D178" s="138"/>
      <c r="E178" s="138"/>
      <c r="F178" s="138"/>
      <c r="G178" s="138"/>
      <c r="H178" s="138"/>
      <c r="I178" s="138"/>
      <c r="J178" s="138"/>
      <c r="K178" s="138"/>
      <c r="L178" s="138"/>
      <c r="M178" s="138"/>
      <c r="N178" s="138"/>
      <c r="O178" s="138"/>
      <c r="P178" s="138"/>
    </row>
    <row r="179">
      <c r="A179" s="138"/>
      <c r="B179" s="138"/>
      <c r="C179" s="138"/>
      <c r="D179" s="138"/>
      <c r="E179" s="138"/>
      <c r="F179" s="138"/>
      <c r="G179" s="138"/>
      <c r="H179" s="138"/>
      <c r="I179" s="138"/>
      <c r="J179" s="138"/>
      <c r="K179" s="138"/>
      <c r="L179" s="138"/>
      <c r="M179" s="138"/>
      <c r="N179" s="138"/>
      <c r="O179" s="138"/>
      <c r="P179" s="138"/>
    </row>
    <row r="180">
      <c r="A180" s="138"/>
      <c r="B180" s="138"/>
      <c r="C180" s="138"/>
      <c r="D180" s="138"/>
      <c r="E180" s="138"/>
      <c r="F180" s="138"/>
      <c r="G180" s="138"/>
      <c r="H180" s="138"/>
      <c r="I180" s="138"/>
      <c r="J180" s="138"/>
      <c r="K180" s="138"/>
      <c r="L180" s="138"/>
      <c r="M180" s="138"/>
      <c r="N180" s="138"/>
      <c r="O180" s="138"/>
      <c r="P180" s="138"/>
    </row>
    <row r="181">
      <c r="A181" s="138"/>
      <c r="B181" s="138"/>
      <c r="C181" s="138"/>
      <c r="D181" s="138"/>
      <c r="E181" s="138"/>
      <c r="F181" s="138"/>
      <c r="G181" s="138"/>
      <c r="H181" s="138"/>
      <c r="I181" s="138"/>
      <c r="J181" s="138"/>
      <c r="K181" s="138"/>
      <c r="L181" s="138"/>
      <c r="M181" s="138"/>
      <c r="N181" s="138"/>
      <c r="O181" s="138"/>
      <c r="P181" s="138"/>
    </row>
    <row r="182">
      <c r="A182" s="138"/>
      <c r="B182" s="138"/>
      <c r="C182" s="138"/>
      <c r="D182" s="138"/>
      <c r="E182" s="138"/>
      <c r="F182" s="138"/>
      <c r="G182" s="138"/>
      <c r="H182" s="138"/>
      <c r="I182" s="138"/>
      <c r="J182" s="138"/>
      <c r="K182" s="138"/>
      <c r="L182" s="138"/>
      <c r="M182" s="138"/>
      <c r="N182" s="138"/>
      <c r="O182" s="138"/>
      <c r="P182" s="138"/>
    </row>
    <row r="183">
      <c r="A183" s="138"/>
      <c r="B183" s="138"/>
      <c r="C183" s="138"/>
      <c r="D183" s="138"/>
      <c r="E183" s="138"/>
      <c r="F183" s="138"/>
      <c r="G183" s="138"/>
      <c r="H183" s="138"/>
      <c r="I183" s="138"/>
      <c r="J183" s="138"/>
      <c r="K183" s="138"/>
      <c r="L183" s="138"/>
      <c r="M183" s="138"/>
      <c r="N183" s="138"/>
      <c r="O183" s="138"/>
      <c r="P183" s="138"/>
    </row>
    <row r="184">
      <c r="A184" s="138"/>
      <c r="B184" s="138"/>
      <c r="C184" s="138"/>
      <c r="D184" s="138"/>
      <c r="E184" s="138"/>
      <c r="F184" s="138"/>
      <c r="G184" s="138"/>
      <c r="H184" s="138"/>
      <c r="I184" s="138"/>
      <c r="J184" s="138"/>
      <c r="K184" s="138"/>
      <c r="L184" s="138"/>
      <c r="M184" s="138"/>
      <c r="N184" s="138"/>
      <c r="O184" s="138"/>
      <c r="P184" s="138"/>
    </row>
    <row r="185">
      <c r="A185" s="138"/>
      <c r="B185" s="138"/>
      <c r="C185" s="138"/>
      <c r="D185" s="138"/>
      <c r="E185" s="138"/>
      <c r="F185" s="138"/>
      <c r="G185" s="138"/>
      <c r="H185" s="138"/>
      <c r="I185" s="138"/>
      <c r="J185" s="138"/>
      <c r="K185" s="138"/>
      <c r="L185" s="138"/>
      <c r="M185" s="138"/>
      <c r="N185" s="138"/>
      <c r="O185" s="138"/>
      <c r="P185" s="138"/>
    </row>
    <row r="186">
      <c r="A186" s="138"/>
      <c r="B186" s="138"/>
      <c r="C186" s="138"/>
      <c r="D186" s="138"/>
      <c r="E186" s="138"/>
      <c r="F186" s="138"/>
      <c r="G186" s="138"/>
      <c r="H186" s="138"/>
      <c r="I186" s="138"/>
      <c r="J186" s="138"/>
      <c r="K186" s="138"/>
      <c r="L186" s="138"/>
      <c r="M186" s="138"/>
      <c r="N186" s="138"/>
      <c r="O186" s="138"/>
      <c r="P186" s="138"/>
    </row>
    <row r="187">
      <c r="A187" s="138"/>
      <c r="B187" s="138"/>
      <c r="C187" s="138"/>
      <c r="D187" s="138"/>
      <c r="E187" s="138"/>
      <c r="F187" s="138"/>
      <c r="G187" s="138"/>
      <c r="H187" s="138"/>
      <c r="I187" s="138"/>
      <c r="J187" s="138"/>
      <c r="K187" s="138"/>
      <c r="L187" s="138"/>
      <c r="M187" s="138"/>
      <c r="N187" s="138"/>
      <c r="O187" s="138"/>
      <c r="P187" s="138"/>
    </row>
    <row r="188">
      <c r="A188" s="138"/>
      <c r="B188" s="138"/>
      <c r="C188" s="138"/>
      <c r="D188" s="138"/>
      <c r="E188" s="138"/>
      <c r="F188" s="138"/>
      <c r="G188" s="138"/>
      <c r="H188" s="138"/>
      <c r="I188" s="138"/>
      <c r="J188" s="138"/>
      <c r="K188" s="138"/>
      <c r="L188" s="138"/>
      <c r="M188" s="138"/>
      <c r="N188" s="138"/>
      <c r="O188" s="138"/>
      <c r="P188" s="138"/>
    </row>
    <row r="189">
      <c r="A189" s="138"/>
      <c r="B189" s="138"/>
      <c r="C189" s="138"/>
      <c r="D189" s="138"/>
      <c r="E189" s="138"/>
      <c r="F189" s="138"/>
      <c r="G189" s="138"/>
      <c r="H189" s="138"/>
      <c r="I189" s="138"/>
      <c r="J189" s="138"/>
      <c r="K189" s="138"/>
      <c r="L189" s="138"/>
      <c r="M189" s="138"/>
      <c r="N189" s="138"/>
      <c r="O189" s="138"/>
      <c r="P189" s="138"/>
    </row>
    <row r="190">
      <c r="A190" s="138"/>
      <c r="B190" s="138"/>
      <c r="C190" s="138"/>
      <c r="D190" s="138"/>
      <c r="E190" s="138"/>
      <c r="F190" s="138"/>
      <c r="G190" s="138"/>
      <c r="H190" s="138"/>
      <c r="I190" s="138"/>
      <c r="J190" s="138"/>
      <c r="K190" s="138"/>
      <c r="L190" s="138"/>
      <c r="M190" s="138"/>
      <c r="N190" s="138"/>
      <c r="O190" s="138"/>
      <c r="P190" s="138"/>
    </row>
    <row r="191">
      <c r="A191" s="138"/>
      <c r="B191" s="138"/>
      <c r="C191" s="138"/>
      <c r="D191" s="138"/>
      <c r="E191" s="138"/>
      <c r="F191" s="138"/>
      <c r="G191" s="138"/>
      <c r="H191" s="138"/>
      <c r="I191" s="138"/>
      <c r="J191" s="138"/>
      <c r="K191" s="138"/>
      <c r="L191" s="138"/>
      <c r="M191" s="138"/>
      <c r="N191" s="138"/>
      <c r="O191" s="138"/>
      <c r="P191" s="138"/>
    </row>
    <row r="192">
      <c r="A192" s="138"/>
      <c r="B192" s="138"/>
      <c r="C192" s="138"/>
      <c r="D192" s="138"/>
      <c r="E192" s="138"/>
      <c r="F192" s="138"/>
      <c r="G192" s="138"/>
      <c r="H192" s="138"/>
      <c r="I192" s="138"/>
      <c r="J192" s="138"/>
      <c r="K192" s="138"/>
      <c r="L192" s="138"/>
      <c r="M192" s="138"/>
      <c r="N192" s="138"/>
      <c r="O192" s="138"/>
      <c r="P192" s="138"/>
    </row>
    <row r="193">
      <c r="A193" s="138"/>
      <c r="B193" s="138"/>
      <c r="C193" s="138"/>
      <c r="D193" s="138"/>
      <c r="E193" s="138"/>
      <c r="F193" s="138"/>
      <c r="G193" s="138"/>
      <c r="H193" s="138"/>
      <c r="I193" s="138"/>
      <c r="J193" s="138"/>
      <c r="K193" s="138"/>
      <c r="L193" s="138"/>
      <c r="M193" s="138"/>
      <c r="N193" s="138"/>
      <c r="O193" s="138"/>
      <c r="P193" s="138"/>
    </row>
    <row r="194">
      <c r="A194" s="138"/>
      <c r="B194" s="138"/>
      <c r="C194" s="138"/>
      <c r="D194" s="138"/>
      <c r="E194" s="138"/>
      <c r="F194" s="138"/>
      <c r="G194" s="138"/>
      <c r="H194" s="138"/>
      <c r="I194" s="138"/>
      <c r="J194" s="138"/>
      <c r="K194" s="138"/>
      <c r="L194" s="138"/>
      <c r="M194" s="138"/>
      <c r="N194" s="138"/>
      <c r="O194" s="138"/>
      <c r="P194" s="138"/>
    </row>
    <row r="195">
      <c r="A195" s="138"/>
      <c r="B195" s="138"/>
      <c r="C195" s="138"/>
      <c r="D195" s="138"/>
      <c r="E195" s="138"/>
      <c r="F195" s="138"/>
      <c r="G195" s="138"/>
      <c r="H195" s="138"/>
      <c r="I195" s="138"/>
      <c r="J195" s="138"/>
      <c r="K195" s="138"/>
      <c r="L195" s="138"/>
      <c r="M195" s="138"/>
      <c r="N195" s="138"/>
      <c r="O195" s="138"/>
      <c r="P195" s="138"/>
    </row>
    <row r="196">
      <c r="A196" s="138"/>
      <c r="B196" s="138"/>
      <c r="C196" s="138"/>
      <c r="D196" s="138"/>
      <c r="E196" s="138"/>
      <c r="F196" s="138"/>
      <c r="G196" s="138"/>
      <c r="H196" s="138"/>
      <c r="I196" s="138"/>
      <c r="J196" s="138"/>
      <c r="K196" s="138"/>
      <c r="L196" s="138"/>
      <c r="M196" s="138"/>
      <c r="N196" s="138"/>
      <c r="O196" s="138"/>
      <c r="P196" s="138"/>
    </row>
    <row r="197">
      <c r="A197" s="138"/>
      <c r="B197" s="138"/>
      <c r="C197" s="138"/>
      <c r="D197" s="138"/>
      <c r="E197" s="138"/>
      <c r="F197" s="138"/>
      <c r="G197" s="138"/>
      <c r="H197" s="138"/>
      <c r="I197" s="138"/>
      <c r="J197" s="138"/>
      <c r="K197" s="138"/>
      <c r="L197" s="138"/>
      <c r="M197" s="138"/>
      <c r="N197" s="138"/>
      <c r="O197" s="138"/>
      <c r="P197" s="138"/>
    </row>
    <row r="198">
      <c r="A198" s="138"/>
      <c r="B198" s="138"/>
      <c r="C198" s="138"/>
      <c r="D198" s="138"/>
      <c r="E198" s="138"/>
      <c r="F198" s="138"/>
      <c r="G198" s="138"/>
      <c r="H198" s="138"/>
      <c r="I198" s="138"/>
      <c r="J198" s="138"/>
      <c r="K198" s="138"/>
      <c r="L198" s="138"/>
      <c r="M198" s="138"/>
      <c r="N198" s="138"/>
      <c r="O198" s="138"/>
      <c r="P198" s="138"/>
    </row>
    <row r="199">
      <c r="A199" s="138"/>
      <c r="B199" s="138"/>
      <c r="C199" s="138"/>
      <c r="D199" s="138"/>
      <c r="E199" s="138"/>
      <c r="F199" s="138"/>
      <c r="G199" s="138"/>
      <c r="H199" s="138"/>
      <c r="I199" s="138"/>
      <c r="J199" s="138"/>
      <c r="K199" s="138"/>
      <c r="L199" s="138"/>
      <c r="M199" s="138"/>
      <c r="N199" s="138"/>
      <c r="O199" s="138"/>
      <c r="P199" s="138"/>
    </row>
    <row r="200">
      <c r="A200" s="138"/>
      <c r="B200" s="138"/>
      <c r="C200" s="138"/>
      <c r="D200" s="138"/>
      <c r="E200" s="138"/>
      <c r="F200" s="138"/>
      <c r="G200" s="138"/>
      <c r="H200" s="138"/>
      <c r="I200" s="138"/>
      <c r="J200" s="138"/>
      <c r="K200" s="138"/>
      <c r="L200" s="138"/>
      <c r="M200" s="138"/>
      <c r="N200" s="138"/>
      <c r="O200" s="138"/>
      <c r="P200" s="138"/>
    </row>
    <row r="201">
      <c r="A201" s="138"/>
      <c r="B201" s="138"/>
      <c r="C201" s="138"/>
      <c r="D201" s="138"/>
      <c r="E201" s="138"/>
      <c r="F201" s="138"/>
      <c r="G201" s="138"/>
      <c r="H201" s="138"/>
      <c r="I201" s="138"/>
      <c r="J201" s="138"/>
      <c r="K201" s="138"/>
      <c r="L201" s="138"/>
      <c r="M201" s="138"/>
      <c r="N201" s="138"/>
      <c r="O201" s="138"/>
      <c r="P201" s="138"/>
    </row>
    <row r="202">
      <c r="A202" s="138"/>
      <c r="B202" s="138"/>
      <c r="C202" s="138"/>
      <c r="D202" s="138"/>
      <c r="E202" s="138"/>
      <c r="F202" s="138"/>
      <c r="G202" s="138"/>
      <c r="H202" s="138"/>
      <c r="I202" s="138"/>
      <c r="J202" s="138"/>
      <c r="K202" s="138"/>
      <c r="L202" s="138"/>
      <c r="M202" s="138"/>
      <c r="N202" s="138"/>
      <c r="O202" s="138"/>
      <c r="P202" s="138"/>
    </row>
    <row r="203">
      <c r="A203" s="138"/>
      <c r="B203" s="138"/>
      <c r="C203" s="138"/>
      <c r="D203" s="138"/>
      <c r="E203" s="138"/>
      <c r="F203" s="138"/>
      <c r="G203" s="138"/>
      <c r="H203" s="138"/>
      <c r="I203" s="138"/>
      <c r="J203" s="138"/>
      <c r="K203" s="138"/>
      <c r="L203" s="138"/>
      <c r="M203" s="138"/>
      <c r="N203" s="138"/>
      <c r="O203" s="138"/>
      <c r="P203" s="138"/>
    </row>
    <row r="204">
      <c r="A204" s="138"/>
      <c r="B204" s="138"/>
      <c r="C204" s="138"/>
      <c r="D204" s="138"/>
      <c r="E204" s="138"/>
      <c r="F204" s="138"/>
      <c r="G204" s="138"/>
      <c r="H204" s="138"/>
      <c r="I204" s="138"/>
      <c r="J204" s="138"/>
      <c r="K204" s="138"/>
      <c r="L204" s="138"/>
      <c r="M204" s="138"/>
      <c r="N204" s="138"/>
      <c r="O204" s="138"/>
      <c r="P204" s="138"/>
    </row>
    <row r="205">
      <c r="A205" s="138"/>
      <c r="B205" s="138"/>
      <c r="C205" s="138"/>
      <c r="D205" s="138"/>
      <c r="E205" s="138"/>
      <c r="F205" s="138"/>
      <c r="G205" s="138"/>
      <c r="H205" s="138"/>
      <c r="I205" s="138"/>
      <c r="J205" s="138"/>
      <c r="K205" s="138"/>
      <c r="L205" s="138"/>
      <c r="M205" s="138"/>
      <c r="N205" s="138"/>
      <c r="O205" s="138"/>
      <c r="P205" s="138"/>
    </row>
    <row r="206">
      <c r="A206" s="138"/>
      <c r="B206" s="138"/>
      <c r="C206" s="138"/>
      <c r="D206" s="138"/>
      <c r="E206" s="138"/>
      <c r="F206" s="138"/>
      <c r="G206" s="138"/>
      <c r="H206" s="138"/>
      <c r="I206" s="138"/>
      <c r="J206" s="138"/>
      <c r="K206" s="138"/>
      <c r="L206" s="138"/>
      <c r="M206" s="138"/>
      <c r="N206" s="138"/>
      <c r="O206" s="138"/>
      <c r="P206" s="138"/>
    </row>
    <row r="207">
      <c r="A207" s="138"/>
      <c r="B207" s="138"/>
      <c r="C207" s="138"/>
      <c r="D207" s="138"/>
      <c r="E207" s="138"/>
      <c r="F207" s="138"/>
      <c r="G207" s="138"/>
      <c r="H207" s="138"/>
      <c r="I207" s="138"/>
      <c r="J207" s="138"/>
      <c r="K207" s="138"/>
      <c r="L207" s="138"/>
      <c r="M207" s="138"/>
      <c r="N207" s="138"/>
      <c r="O207" s="138"/>
      <c r="P207" s="138"/>
    </row>
    <row r="208">
      <c r="A208" s="138"/>
      <c r="B208" s="138"/>
      <c r="C208" s="138"/>
      <c r="D208" s="138"/>
      <c r="E208" s="138"/>
      <c r="F208" s="138"/>
      <c r="G208" s="138"/>
      <c r="H208" s="138"/>
      <c r="I208" s="138"/>
      <c r="J208" s="138"/>
      <c r="K208" s="138"/>
      <c r="L208" s="138"/>
      <c r="M208" s="138"/>
      <c r="N208" s="138"/>
      <c r="O208" s="138"/>
      <c r="P208" s="138"/>
    </row>
    <row r="209">
      <c r="A209" s="138"/>
      <c r="B209" s="138"/>
      <c r="C209" s="138"/>
      <c r="D209" s="138"/>
      <c r="E209" s="138"/>
      <c r="F209" s="138"/>
      <c r="G209" s="138"/>
      <c r="H209" s="138"/>
      <c r="I209" s="138"/>
      <c r="J209" s="138"/>
      <c r="K209" s="138"/>
      <c r="L209" s="138"/>
      <c r="M209" s="138"/>
      <c r="N209" s="138"/>
      <c r="O209" s="138"/>
      <c r="P209" s="138"/>
    </row>
    <row r="210">
      <c r="A210" s="138"/>
      <c r="B210" s="138"/>
      <c r="C210" s="138"/>
      <c r="D210" s="138"/>
      <c r="E210" s="138"/>
      <c r="F210" s="138"/>
      <c r="G210" s="138"/>
      <c r="H210" s="138"/>
      <c r="I210" s="138"/>
      <c r="J210" s="138"/>
      <c r="K210" s="138"/>
      <c r="L210" s="138"/>
      <c r="M210" s="138"/>
      <c r="N210" s="138"/>
      <c r="O210" s="138"/>
      <c r="P210" s="138"/>
    </row>
    <row r="211">
      <c r="A211" s="138"/>
      <c r="B211" s="138"/>
      <c r="C211" s="138"/>
      <c r="D211" s="138"/>
      <c r="E211" s="138"/>
      <c r="F211" s="138"/>
      <c r="G211" s="138"/>
      <c r="H211" s="138"/>
      <c r="I211" s="138"/>
      <c r="J211" s="138"/>
      <c r="K211" s="138"/>
      <c r="L211" s="138"/>
      <c r="M211" s="138"/>
      <c r="N211" s="138"/>
      <c r="O211" s="138"/>
      <c r="P211" s="138"/>
    </row>
    <row r="212">
      <c r="A212" s="138"/>
      <c r="B212" s="138"/>
      <c r="C212" s="138"/>
      <c r="D212" s="138"/>
      <c r="E212" s="138"/>
      <c r="F212" s="138"/>
      <c r="G212" s="138"/>
      <c r="H212" s="138"/>
      <c r="I212" s="138"/>
      <c r="J212" s="138"/>
      <c r="K212" s="138"/>
      <c r="L212" s="138"/>
      <c r="M212" s="138"/>
      <c r="N212" s="138"/>
      <c r="O212" s="138"/>
      <c r="P212" s="138"/>
    </row>
    <row r="213">
      <c r="A213" s="138"/>
      <c r="B213" s="138"/>
      <c r="C213" s="138"/>
      <c r="D213" s="138"/>
      <c r="E213" s="138"/>
      <c r="F213" s="138"/>
      <c r="G213" s="138"/>
      <c r="H213" s="138"/>
      <c r="I213" s="138"/>
      <c r="J213" s="138"/>
      <c r="K213" s="138"/>
      <c r="L213" s="138"/>
      <c r="M213" s="138"/>
      <c r="N213" s="138"/>
      <c r="O213" s="138"/>
      <c r="P213" s="138"/>
    </row>
    <row r="214">
      <c r="A214" s="138"/>
      <c r="B214" s="138"/>
      <c r="C214" s="138"/>
      <c r="D214" s="138"/>
      <c r="E214" s="138"/>
      <c r="F214" s="138"/>
      <c r="G214" s="138"/>
      <c r="H214" s="138"/>
      <c r="I214" s="138"/>
      <c r="J214" s="138"/>
      <c r="K214" s="138"/>
      <c r="L214" s="138"/>
      <c r="M214" s="138"/>
      <c r="N214" s="138"/>
      <c r="O214" s="138"/>
      <c r="P214" s="138"/>
    </row>
    <row r="215">
      <c r="A215" s="138"/>
      <c r="B215" s="138"/>
      <c r="C215" s="138"/>
      <c r="D215" s="138"/>
      <c r="E215" s="138"/>
      <c r="F215" s="138"/>
      <c r="G215" s="138"/>
      <c r="H215" s="138"/>
      <c r="I215" s="138"/>
      <c r="J215" s="138"/>
      <c r="K215" s="138"/>
      <c r="L215" s="138"/>
      <c r="M215" s="138"/>
      <c r="N215" s="138"/>
      <c r="O215" s="138"/>
      <c r="P215" s="138"/>
    </row>
    <row r="216">
      <c r="A216" s="138"/>
      <c r="B216" s="138"/>
      <c r="C216" s="138"/>
      <c r="D216" s="138"/>
      <c r="E216" s="138"/>
      <c r="F216" s="138"/>
      <c r="G216" s="138"/>
      <c r="H216" s="138"/>
      <c r="I216" s="138"/>
      <c r="J216" s="138"/>
      <c r="K216" s="138"/>
      <c r="L216" s="138"/>
      <c r="M216" s="138"/>
      <c r="N216" s="138"/>
      <c r="O216" s="138"/>
      <c r="P216" s="138"/>
    </row>
    <row r="217">
      <c r="A217" s="138"/>
      <c r="B217" s="138"/>
      <c r="C217" s="138"/>
      <c r="D217" s="138"/>
      <c r="E217" s="138"/>
      <c r="F217" s="138"/>
      <c r="G217" s="138"/>
      <c r="H217" s="138"/>
      <c r="I217" s="138"/>
      <c r="J217" s="138"/>
      <c r="K217" s="138"/>
      <c r="L217" s="138"/>
      <c r="M217" s="138"/>
      <c r="N217" s="138"/>
      <c r="O217" s="138"/>
      <c r="P217" s="138"/>
    </row>
    <row r="218">
      <c r="A218" s="138"/>
      <c r="B218" s="138"/>
      <c r="C218" s="138"/>
      <c r="D218" s="138"/>
      <c r="E218" s="138"/>
      <c r="F218" s="138"/>
      <c r="G218" s="138"/>
      <c r="H218" s="138"/>
      <c r="I218" s="138"/>
      <c r="J218" s="138"/>
      <c r="K218" s="138"/>
      <c r="L218" s="138"/>
      <c r="M218" s="138"/>
      <c r="N218" s="138"/>
      <c r="O218" s="138"/>
      <c r="P218" s="138"/>
    </row>
    <row r="219">
      <c r="A219" s="138"/>
      <c r="B219" s="138"/>
      <c r="C219" s="138"/>
      <c r="D219" s="138"/>
      <c r="E219" s="138"/>
      <c r="F219" s="138"/>
      <c r="G219" s="138"/>
      <c r="H219" s="138"/>
      <c r="I219" s="138"/>
      <c r="J219" s="138"/>
      <c r="K219" s="138"/>
      <c r="L219" s="138"/>
      <c r="M219" s="138"/>
      <c r="N219" s="138"/>
      <c r="O219" s="138"/>
      <c r="P219" s="138"/>
    </row>
    <row r="220">
      <c r="A220" s="138"/>
      <c r="B220" s="138"/>
      <c r="C220" s="138"/>
      <c r="D220" s="138"/>
      <c r="E220" s="138"/>
      <c r="F220" s="138"/>
      <c r="G220" s="138"/>
      <c r="H220" s="138"/>
      <c r="I220" s="138"/>
      <c r="J220" s="138"/>
      <c r="K220" s="138"/>
      <c r="L220" s="138"/>
      <c r="M220" s="138"/>
      <c r="N220" s="138"/>
      <c r="O220" s="138"/>
      <c r="P220" s="138"/>
    </row>
    <row r="221">
      <c r="A221" s="138"/>
      <c r="B221" s="138"/>
      <c r="C221" s="138"/>
      <c r="D221" s="138"/>
      <c r="E221" s="138"/>
      <c r="F221" s="138"/>
      <c r="G221" s="138"/>
      <c r="H221" s="138"/>
      <c r="I221" s="138"/>
      <c r="J221" s="138"/>
      <c r="K221" s="138"/>
      <c r="L221" s="138"/>
      <c r="M221" s="138"/>
      <c r="N221" s="138"/>
      <c r="O221" s="138"/>
      <c r="P221" s="138"/>
    </row>
    <row r="222">
      <c r="A222" s="138"/>
      <c r="B222" s="138"/>
      <c r="C222" s="138"/>
      <c r="D222" s="138"/>
      <c r="E222" s="138"/>
      <c r="F222" s="138"/>
      <c r="G222" s="138"/>
      <c r="H222" s="138"/>
      <c r="I222" s="138"/>
      <c r="J222" s="138"/>
      <c r="K222" s="138"/>
      <c r="L222" s="138"/>
      <c r="M222" s="138"/>
      <c r="N222" s="138"/>
      <c r="O222" s="138"/>
      <c r="P222" s="138"/>
    </row>
    <row r="223">
      <c r="A223" s="138"/>
      <c r="B223" s="138"/>
      <c r="C223" s="138"/>
      <c r="D223" s="138"/>
      <c r="E223" s="138"/>
      <c r="F223" s="138"/>
      <c r="G223" s="138"/>
      <c r="H223" s="138"/>
      <c r="I223" s="138"/>
      <c r="J223" s="138"/>
      <c r="K223" s="138"/>
      <c r="L223" s="138"/>
      <c r="M223" s="138"/>
      <c r="N223" s="138"/>
      <c r="O223" s="138"/>
      <c r="P223" s="138"/>
    </row>
    <row r="224">
      <c r="A224" s="138"/>
      <c r="B224" s="138"/>
      <c r="C224" s="138"/>
      <c r="D224" s="138"/>
      <c r="E224" s="138"/>
      <c r="F224" s="138"/>
      <c r="G224" s="138"/>
      <c r="H224" s="138"/>
      <c r="I224" s="138"/>
      <c r="J224" s="138"/>
      <c r="K224" s="138"/>
      <c r="L224" s="138"/>
      <c r="M224" s="138"/>
      <c r="N224" s="138"/>
      <c r="O224" s="138"/>
      <c r="P224" s="138"/>
    </row>
    <row r="225">
      <c r="A225" s="138"/>
      <c r="B225" s="138"/>
      <c r="C225" s="138"/>
      <c r="D225" s="138"/>
      <c r="E225" s="138"/>
      <c r="F225" s="138"/>
      <c r="G225" s="138"/>
      <c r="H225" s="138"/>
      <c r="I225" s="138"/>
      <c r="J225" s="138"/>
      <c r="K225" s="138"/>
      <c r="L225" s="138"/>
      <c r="M225" s="138"/>
      <c r="N225" s="138"/>
      <c r="O225" s="138"/>
      <c r="P225" s="138"/>
    </row>
    <row r="226">
      <c r="A226" s="138"/>
      <c r="B226" s="138"/>
      <c r="C226" s="138"/>
      <c r="D226" s="138"/>
      <c r="E226" s="138"/>
      <c r="F226" s="138"/>
      <c r="G226" s="138"/>
      <c r="H226" s="138"/>
      <c r="I226" s="138"/>
      <c r="J226" s="138"/>
      <c r="K226" s="138"/>
      <c r="L226" s="138"/>
      <c r="M226" s="138"/>
      <c r="N226" s="138"/>
      <c r="O226" s="138"/>
      <c r="P226" s="138"/>
    </row>
    <row r="227">
      <c r="A227" s="138"/>
      <c r="B227" s="138"/>
      <c r="C227" s="138"/>
      <c r="D227" s="138"/>
      <c r="E227" s="138"/>
      <c r="F227" s="138"/>
      <c r="G227" s="138"/>
      <c r="H227" s="138"/>
      <c r="I227" s="138"/>
      <c r="J227" s="138"/>
      <c r="K227" s="138"/>
      <c r="L227" s="138"/>
      <c r="M227" s="138"/>
      <c r="N227" s="138"/>
      <c r="O227" s="138"/>
      <c r="P227" s="138"/>
    </row>
    <row r="228">
      <c r="A228" s="138"/>
      <c r="B228" s="138"/>
      <c r="C228" s="138"/>
      <c r="D228" s="138"/>
      <c r="E228" s="138"/>
      <c r="F228" s="138"/>
      <c r="G228" s="138"/>
      <c r="H228" s="138"/>
      <c r="I228" s="138"/>
      <c r="J228" s="138"/>
      <c r="K228" s="138"/>
      <c r="L228" s="138"/>
      <c r="M228" s="138"/>
      <c r="N228" s="138"/>
      <c r="O228" s="138"/>
      <c r="P228" s="138"/>
    </row>
    <row r="229">
      <c r="A229" s="138"/>
      <c r="B229" s="138"/>
      <c r="C229" s="138"/>
      <c r="D229" s="138"/>
      <c r="E229" s="138"/>
      <c r="F229" s="138"/>
      <c r="G229" s="138"/>
      <c r="H229" s="138"/>
      <c r="I229" s="138"/>
      <c r="J229" s="138"/>
      <c r="K229" s="138"/>
      <c r="L229" s="138"/>
      <c r="M229" s="138"/>
      <c r="N229" s="138"/>
      <c r="O229" s="138"/>
      <c r="P229" s="138"/>
    </row>
    <row r="230">
      <c r="A230" s="138"/>
      <c r="B230" s="138"/>
      <c r="C230" s="138"/>
      <c r="D230" s="138"/>
      <c r="E230" s="138"/>
      <c r="F230" s="138"/>
      <c r="G230" s="138"/>
      <c r="H230" s="138"/>
      <c r="I230" s="138"/>
      <c r="J230" s="138"/>
      <c r="K230" s="138"/>
      <c r="L230" s="138"/>
      <c r="M230" s="138"/>
      <c r="N230" s="138"/>
      <c r="O230" s="138"/>
      <c r="P230" s="138"/>
    </row>
    <row r="231">
      <c r="A231" s="138"/>
      <c r="B231" s="138"/>
      <c r="C231" s="138"/>
      <c r="D231" s="138"/>
      <c r="E231" s="138"/>
      <c r="F231" s="138"/>
      <c r="G231" s="138"/>
      <c r="H231" s="138"/>
      <c r="I231" s="138"/>
      <c r="J231" s="138"/>
      <c r="K231" s="138"/>
      <c r="L231" s="138"/>
      <c r="M231" s="138"/>
      <c r="N231" s="138"/>
      <c r="O231" s="138"/>
      <c r="P231" s="138"/>
    </row>
    <row r="232">
      <c r="A232" s="138"/>
      <c r="B232" s="138"/>
      <c r="C232" s="138"/>
      <c r="D232" s="138"/>
      <c r="E232" s="138"/>
      <c r="F232" s="138"/>
      <c r="G232" s="138"/>
      <c r="H232" s="138"/>
      <c r="I232" s="138"/>
      <c r="J232" s="138"/>
      <c r="K232" s="138"/>
      <c r="L232" s="138"/>
      <c r="M232" s="138"/>
      <c r="N232" s="138"/>
      <c r="O232" s="138"/>
      <c r="P232" s="138"/>
    </row>
    <row r="233">
      <c r="A233" s="138"/>
      <c r="B233" s="138"/>
      <c r="C233" s="138"/>
      <c r="D233" s="138"/>
      <c r="E233" s="138"/>
      <c r="F233" s="138"/>
      <c r="G233" s="138"/>
      <c r="H233" s="138"/>
      <c r="I233" s="138"/>
      <c r="J233" s="138"/>
      <c r="K233" s="138"/>
      <c r="L233" s="138"/>
      <c r="M233" s="138"/>
      <c r="N233" s="138"/>
      <c r="O233" s="138"/>
      <c r="P233" s="138"/>
    </row>
    <row r="234">
      <c r="A234" s="138"/>
      <c r="B234" s="138"/>
      <c r="C234" s="138"/>
      <c r="D234" s="138"/>
      <c r="E234" s="138"/>
      <c r="F234" s="138"/>
      <c r="G234" s="138"/>
      <c r="H234" s="138"/>
      <c r="I234" s="138"/>
      <c r="J234" s="138"/>
      <c r="K234" s="138"/>
      <c r="L234" s="138"/>
      <c r="M234" s="138"/>
      <c r="N234" s="138"/>
      <c r="O234" s="138"/>
      <c r="P234" s="138"/>
    </row>
    <row r="235">
      <c r="A235" s="138"/>
      <c r="B235" s="138"/>
      <c r="C235" s="138"/>
      <c r="D235" s="138"/>
      <c r="E235" s="138"/>
      <c r="F235" s="138"/>
      <c r="G235" s="138"/>
      <c r="H235" s="138"/>
      <c r="I235" s="138"/>
      <c r="J235" s="138"/>
      <c r="K235" s="138"/>
      <c r="L235" s="138"/>
      <c r="M235" s="138"/>
      <c r="N235" s="138"/>
      <c r="O235" s="138"/>
      <c r="P235" s="138"/>
    </row>
    <row r="236">
      <c r="A236" s="138"/>
      <c r="B236" s="138"/>
      <c r="C236" s="138"/>
      <c r="D236" s="138"/>
      <c r="E236" s="138"/>
      <c r="F236" s="138"/>
      <c r="G236" s="138"/>
      <c r="H236" s="138"/>
      <c r="I236" s="138"/>
      <c r="J236" s="138"/>
      <c r="K236" s="138"/>
      <c r="L236" s="138"/>
      <c r="M236" s="138"/>
      <c r="N236" s="138"/>
      <c r="O236" s="138"/>
      <c r="P236" s="138"/>
    </row>
    <row r="237">
      <c r="A237" s="138"/>
      <c r="B237" s="138"/>
      <c r="C237" s="138"/>
      <c r="D237" s="138"/>
      <c r="E237" s="138"/>
      <c r="F237" s="138"/>
      <c r="G237" s="138"/>
      <c r="H237" s="138"/>
      <c r="I237" s="138"/>
      <c r="J237" s="138"/>
      <c r="K237" s="138"/>
      <c r="L237" s="138"/>
      <c r="M237" s="138"/>
      <c r="N237" s="138"/>
      <c r="O237" s="138"/>
      <c r="P237" s="138"/>
    </row>
    <row r="238">
      <c r="A238" s="138"/>
      <c r="B238" s="138"/>
      <c r="C238" s="138"/>
      <c r="D238" s="138"/>
      <c r="E238" s="138"/>
      <c r="F238" s="138"/>
      <c r="G238" s="138"/>
      <c r="H238" s="138"/>
      <c r="I238" s="138"/>
      <c r="J238" s="138"/>
      <c r="K238" s="138"/>
      <c r="L238" s="138"/>
      <c r="M238" s="138"/>
      <c r="N238" s="138"/>
      <c r="O238" s="138"/>
      <c r="P238" s="138"/>
    </row>
    <row r="239">
      <c r="A239" s="138"/>
      <c r="B239" s="138"/>
      <c r="C239" s="138"/>
      <c r="D239" s="138"/>
      <c r="E239" s="138"/>
      <c r="F239" s="138"/>
      <c r="G239" s="138"/>
      <c r="H239" s="138"/>
      <c r="I239" s="138"/>
      <c r="J239" s="138"/>
      <c r="K239" s="138"/>
      <c r="L239" s="138"/>
      <c r="M239" s="138"/>
      <c r="N239" s="138"/>
      <c r="O239" s="138"/>
      <c r="P239" s="138"/>
    </row>
    <row r="240">
      <c r="A240" s="138"/>
      <c r="B240" s="138"/>
      <c r="C240" s="138"/>
      <c r="D240" s="138"/>
      <c r="E240" s="138"/>
      <c r="F240" s="138"/>
      <c r="G240" s="138"/>
      <c r="H240" s="138"/>
      <c r="I240" s="138"/>
      <c r="J240" s="138"/>
      <c r="K240" s="138"/>
      <c r="L240" s="138"/>
      <c r="M240" s="138"/>
      <c r="N240" s="138"/>
      <c r="O240" s="138"/>
      <c r="P240" s="138"/>
    </row>
    <row r="241">
      <c r="A241" s="138"/>
      <c r="B241" s="138"/>
      <c r="C241" s="138"/>
      <c r="D241" s="138"/>
      <c r="E241" s="138"/>
      <c r="F241" s="138"/>
      <c r="G241" s="138"/>
      <c r="H241" s="138"/>
      <c r="I241" s="138"/>
      <c r="J241" s="138"/>
      <c r="K241" s="138"/>
      <c r="L241" s="138"/>
      <c r="M241" s="138"/>
      <c r="N241" s="138"/>
      <c r="O241" s="138"/>
      <c r="P241" s="138"/>
    </row>
    <row r="242">
      <c r="A242" s="138"/>
      <c r="B242" s="138"/>
      <c r="C242" s="138"/>
      <c r="D242" s="138"/>
      <c r="E242" s="138"/>
      <c r="F242" s="138"/>
      <c r="G242" s="138"/>
      <c r="H242" s="138"/>
      <c r="I242" s="138"/>
      <c r="J242" s="138"/>
      <c r="K242" s="138"/>
      <c r="L242" s="138"/>
      <c r="M242" s="138"/>
      <c r="N242" s="138"/>
      <c r="O242" s="138"/>
      <c r="P242" s="138"/>
    </row>
    <row r="243">
      <c r="A243" s="138"/>
      <c r="B243" s="138"/>
      <c r="C243" s="138"/>
      <c r="D243" s="138"/>
      <c r="E243" s="138"/>
      <c r="F243" s="138"/>
      <c r="G243" s="138"/>
      <c r="H243" s="138"/>
      <c r="I243" s="138"/>
      <c r="J243" s="138"/>
      <c r="K243" s="138"/>
      <c r="L243" s="138"/>
      <c r="M243" s="138"/>
      <c r="N243" s="138"/>
      <c r="O243" s="138"/>
      <c r="P243" s="138"/>
    </row>
    <row r="244">
      <c r="A244" s="138"/>
      <c r="B244" s="138"/>
      <c r="C244" s="138"/>
      <c r="D244" s="138"/>
      <c r="E244" s="138"/>
      <c r="F244" s="138"/>
      <c r="G244" s="138"/>
      <c r="H244" s="138"/>
      <c r="I244" s="138"/>
      <c r="J244" s="138"/>
      <c r="K244" s="138"/>
      <c r="L244" s="138"/>
      <c r="M244" s="138"/>
      <c r="N244" s="138"/>
      <c r="O244" s="138"/>
      <c r="P244" s="138"/>
    </row>
    <row r="245">
      <c r="A245" s="138"/>
      <c r="B245" s="138"/>
      <c r="C245" s="138"/>
      <c r="D245" s="138"/>
      <c r="E245" s="138"/>
      <c r="F245" s="138"/>
      <c r="G245" s="138"/>
      <c r="H245" s="138"/>
      <c r="I245" s="138"/>
      <c r="J245" s="138"/>
      <c r="K245" s="138"/>
      <c r="L245" s="138"/>
      <c r="M245" s="138"/>
      <c r="N245" s="138"/>
      <c r="O245" s="138"/>
      <c r="P245" s="138"/>
    </row>
    <row r="246">
      <c r="A246" s="138"/>
      <c r="B246" s="138"/>
      <c r="C246" s="138"/>
      <c r="D246" s="138"/>
      <c r="E246" s="138"/>
      <c r="F246" s="138"/>
      <c r="G246" s="138"/>
      <c r="H246" s="138"/>
      <c r="I246" s="138"/>
      <c r="J246" s="138"/>
      <c r="K246" s="138"/>
      <c r="L246" s="138"/>
      <c r="M246" s="138"/>
      <c r="N246" s="138"/>
      <c r="O246" s="138"/>
      <c r="P246" s="138"/>
    </row>
    <row r="247">
      <c r="A247" s="138"/>
      <c r="B247" s="138"/>
      <c r="C247" s="138"/>
      <c r="D247" s="138"/>
      <c r="E247" s="138"/>
      <c r="F247" s="138"/>
      <c r="G247" s="138"/>
      <c r="H247" s="138"/>
      <c r="I247" s="138"/>
      <c r="J247" s="138"/>
      <c r="K247" s="138"/>
      <c r="L247" s="138"/>
      <c r="M247" s="138"/>
      <c r="N247" s="138"/>
      <c r="O247" s="138"/>
      <c r="P247" s="138"/>
    </row>
    <row r="248">
      <c r="A248" s="138"/>
      <c r="B248" s="138"/>
      <c r="C248" s="138"/>
      <c r="D248" s="138"/>
      <c r="E248" s="138"/>
      <c r="F248" s="138"/>
      <c r="G248" s="138"/>
      <c r="H248" s="138"/>
      <c r="I248" s="138"/>
      <c r="J248" s="138"/>
      <c r="K248" s="138"/>
      <c r="L248" s="138"/>
      <c r="M248" s="138"/>
      <c r="N248" s="138"/>
      <c r="O248" s="138"/>
      <c r="P248" s="138"/>
    </row>
    <row r="249">
      <c r="A249" s="138"/>
      <c r="B249" s="138"/>
      <c r="C249" s="138"/>
      <c r="D249" s="138"/>
      <c r="E249" s="138"/>
      <c r="F249" s="138"/>
      <c r="G249" s="138"/>
      <c r="H249" s="138"/>
      <c r="I249" s="138"/>
      <c r="J249" s="138"/>
      <c r="K249" s="138"/>
      <c r="L249" s="138"/>
      <c r="M249" s="138"/>
      <c r="N249" s="138"/>
      <c r="O249" s="138"/>
      <c r="P249" s="138"/>
    </row>
    <row r="250">
      <c r="A250" s="138"/>
      <c r="B250" s="138"/>
      <c r="C250" s="138"/>
      <c r="D250" s="138"/>
      <c r="E250" s="138"/>
      <c r="F250" s="138"/>
      <c r="G250" s="138"/>
      <c r="H250" s="138"/>
      <c r="I250" s="138"/>
      <c r="J250" s="138"/>
      <c r="K250" s="138"/>
      <c r="L250" s="138"/>
      <c r="M250" s="138"/>
      <c r="N250" s="138"/>
      <c r="O250" s="138"/>
      <c r="P250" s="138"/>
    </row>
    <row r="251">
      <c r="A251" s="138"/>
      <c r="B251" s="138"/>
      <c r="C251" s="138"/>
      <c r="D251" s="138"/>
      <c r="E251" s="138"/>
      <c r="F251" s="138"/>
      <c r="G251" s="138"/>
      <c r="H251" s="138"/>
      <c r="I251" s="138"/>
      <c r="J251" s="138"/>
      <c r="K251" s="138"/>
      <c r="L251" s="138"/>
      <c r="M251" s="138"/>
      <c r="N251" s="138"/>
      <c r="O251" s="138"/>
      <c r="P251" s="138"/>
    </row>
    <row r="252">
      <c r="A252" s="138"/>
      <c r="B252" s="138"/>
      <c r="C252" s="138"/>
      <c r="D252" s="138"/>
      <c r="E252" s="138"/>
      <c r="F252" s="138"/>
      <c r="G252" s="138"/>
      <c r="H252" s="138"/>
      <c r="I252" s="138"/>
      <c r="J252" s="138"/>
      <c r="K252" s="138"/>
      <c r="L252" s="138"/>
      <c r="M252" s="138"/>
      <c r="N252" s="138"/>
      <c r="O252" s="138"/>
      <c r="P252" s="138"/>
    </row>
    <row r="253">
      <c r="A253" s="138"/>
      <c r="B253" s="138"/>
      <c r="C253" s="138"/>
      <c r="D253" s="138"/>
      <c r="E253" s="138"/>
      <c r="F253" s="138"/>
      <c r="G253" s="138"/>
      <c r="H253" s="138"/>
      <c r="I253" s="138"/>
      <c r="J253" s="138"/>
      <c r="K253" s="138"/>
      <c r="L253" s="138"/>
      <c r="M253" s="138"/>
      <c r="N253" s="138"/>
      <c r="O253" s="138"/>
      <c r="P253" s="138"/>
    </row>
    <row r="254">
      <c r="A254" s="138"/>
      <c r="B254" s="138"/>
      <c r="C254" s="138"/>
      <c r="D254" s="138"/>
      <c r="E254" s="138"/>
      <c r="F254" s="138"/>
      <c r="G254" s="138"/>
      <c r="H254" s="138"/>
      <c r="I254" s="138"/>
      <c r="J254" s="138"/>
      <c r="K254" s="138"/>
      <c r="L254" s="138"/>
      <c r="M254" s="138"/>
      <c r="N254" s="138"/>
      <c r="O254" s="138"/>
      <c r="P254" s="138"/>
    </row>
    <row r="255">
      <c r="A255" s="138"/>
      <c r="B255" s="138"/>
      <c r="C255" s="138"/>
      <c r="D255" s="138"/>
      <c r="E255" s="138"/>
      <c r="F255" s="138"/>
      <c r="G255" s="138"/>
      <c r="H255" s="138"/>
      <c r="I255" s="138"/>
      <c r="J255" s="138"/>
      <c r="K255" s="138"/>
      <c r="L255" s="138"/>
      <c r="M255" s="138"/>
      <c r="N255" s="138"/>
      <c r="O255" s="138"/>
      <c r="P255" s="138"/>
    </row>
    <row r="256">
      <c r="A256" s="138"/>
      <c r="B256" s="138"/>
      <c r="C256" s="138"/>
      <c r="D256" s="138"/>
      <c r="E256" s="138"/>
      <c r="F256" s="138"/>
      <c r="G256" s="138"/>
      <c r="H256" s="138"/>
      <c r="I256" s="138"/>
      <c r="J256" s="138"/>
      <c r="K256" s="138"/>
      <c r="L256" s="138"/>
      <c r="M256" s="138"/>
      <c r="N256" s="138"/>
      <c r="O256" s="138"/>
      <c r="P256" s="138"/>
    </row>
    <row r="257">
      <c r="A257" s="138"/>
      <c r="B257" s="138"/>
      <c r="C257" s="138"/>
      <c r="D257" s="138"/>
      <c r="E257" s="138"/>
      <c r="F257" s="138"/>
      <c r="G257" s="138"/>
      <c r="H257" s="138"/>
      <c r="I257" s="138"/>
      <c r="J257" s="138"/>
      <c r="K257" s="138"/>
      <c r="L257" s="138"/>
      <c r="M257" s="138"/>
      <c r="N257" s="138"/>
      <c r="O257" s="138"/>
      <c r="P257" s="138"/>
    </row>
    <row r="258">
      <c r="A258" s="138"/>
      <c r="B258" s="138"/>
      <c r="C258" s="138"/>
      <c r="D258" s="138"/>
      <c r="E258" s="138"/>
      <c r="F258" s="138"/>
      <c r="G258" s="138"/>
      <c r="H258" s="138"/>
      <c r="I258" s="138"/>
      <c r="J258" s="138"/>
      <c r="K258" s="138"/>
      <c r="L258" s="138"/>
      <c r="M258" s="138"/>
      <c r="N258" s="138"/>
      <c r="O258" s="138"/>
      <c r="P258" s="138"/>
    </row>
    <row r="259">
      <c r="A259" s="138"/>
      <c r="B259" s="138"/>
      <c r="C259" s="138"/>
      <c r="D259" s="138"/>
      <c r="E259" s="138"/>
      <c r="F259" s="138"/>
      <c r="G259" s="138"/>
      <c r="H259" s="138"/>
      <c r="I259" s="138"/>
      <c r="J259" s="138"/>
      <c r="K259" s="138"/>
      <c r="L259" s="138"/>
      <c r="M259" s="138"/>
      <c r="N259" s="138"/>
      <c r="O259" s="138"/>
      <c r="P259" s="138"/>
    </row>
    <row r="260">
      <c r="A260" s="138"/>
      <c r="B260" s="138"/>
      <c r="C260" s="138"/>
      <c r="D260" s="138"/>
      <c r="E260" s="138"/>
      <c r="F260" s="138"/>
      <c r="G260" s="138"/>
      <c r="H260" s="138"/>
      <c r="I260" s="138"/>
      <c r="J260" s="138"/>
      <c r="K260" s="138"/>
      <c r="L260" s="138"/>
      <c r="M260" s="138"/>
      <c r="N260" s="138"/>
      <c r="O260" s="138"/>
      <c r="P260" s="138"/>
    </row>
    <row r="261">
      <c r="A261" s="138"/>
      <c r="B261" s="138"/>
      <c r="C261" s="138"/>
      <c r="D261" s="138"/>
      <c r="E261" s="138"/>
      <c r="F261" s="138"/>
      <c r="G261" s="138"/>
      <c r="H261" s="138"/>
      <c r="I261" s="138"/>
      <c r="J261" s="138"/>
      <c r="K261" s="138"/>
      <c r="L261" s="138"/>
      <c r="M261" s="138"/>
      <c r="N261" s="138"/>
      <c r="O261" s="138"/>
      <c r="P261" s="138"/>
    </row>
    <row r="262">
      <c r="A262" s="138"/>
      <c r="B262" s="138"/>
      <c r="C262" s="138"/>
      <c r="D262" s="138"/>
      <c r="E262" s="138"/>
      <c r="F262" s="138"/>
      <c r="G262" s="138"/>
      <c r="H262" s="138"/>
      <c r="I262" s="138"/>
      <c r="J262" s="138"/>
      <c r="K262" s="138"/>
      <c r="L262" s="138"/>
      <c r="M262" s="138"/>
      <c r="N262" s="138"/>
      <c r="O262" s="138"/>
      <c r="P262" s="138"/>
    </row>
    <row r="263">
      <c r="A263" s="138"/>
      <c r="B263" s="138"/>
      <c r="C263" s="138"/>
      <c r="D263" s="138"/>
      <c r="E263" s="138"/>
      <c r="F263" s="138"/>
      <c r="G263" s="138"/>
      <c r="H263" s="138"/>
      <c r="I263" s="138"/>
      <c r="J263" s="138"/>
      <c r="K263" s="138"/>
      <c r="L263" s="138"/>
      <c r="M263" s="138"/>
      <c r="N263" s="138"/>
      <c r="O263" s="138"/>
      <c r="P263" s="138"/>
    </row>
    <row r="264">
      <c r="A264" s="138"/>
      <c r="B264" s="138"/>
      <c r="C264" s="138"/>
      <c r="D264" s="138"/>
      <c r="E264" s="138"/>
      <c r="F264" s="138"/>
      <c r="G264" s="138"/>
      <c r="H264" s="138"/>
      <c r="I264" s="138"/>
      <c r="J264" s="138"/>
      <c r="K264" s="138"/>
      <c r="L264" s="138"/>
      <c r="M264" s="138"/>
      <c r="N264" s="138"/>
      <c r="O264" s="138"/>
      <c r="P264" s="138"/>
    </row>
    <row r="265">
      <c r="A265" s="138"/>
      <c r="B265" s="138"/>
      <c r="C265" s="138"/>
      <c r="D265" s="138"/>
      <c r="E265" s="138"/>
      <c r="F265" s="138"/>
      <c r="G265" s="138"/>
      <c r="H265" s="138"/>
      <c r="I265" s="138"/>
      <c r="J265" s="138"/>
      <c r="K265" s="138"/>
      <c r="L265" s="138"/>
      <c r="M265" s="138"/>
      <c r="N265" s="138"/>
      <c r="O265" s="138"/>
      <c r="P265" s="138"/>
    </row>
    <row r="266">
      <c r="A266" s="138"/>
      <c r="B266" s="138"/>
      <c r="C266" s="138"/>
      <c r="D266" s="138"/>
      <c r="E266" s="138"/>
      <c r="F266" s="138"/>
      <c r="G266" s="138"/>
      <c r="H266" s="138"/>
      <c r="I266" s="138"/>
      <c r="J266" s="138"/>
      <c r="K266" s="138"/>
      <c r="L266" s="138"/>
      <c r="M266" s="138"/>
      <c r="N266" s="138"/>
      <c r="O266" s="138"/>
      <c r="P266" s="138"/>
    </row>
    <row r="267">
      <c r="A267" s="138"/>
      <c r="B267" s="138"/>
      <c r="C267" s="138"/>
      <c r="D267" s="138"/>
      <c r="E267" s="138"/>
      <c r="F267" s="138"/>
      <c r="G267" s="138"/>
      <c r="H267" s="138"/>
      <c r="I267" s="138"/>
      <c r="J267" s="138"/>
      <c r="K267" s="138"/>
      <c r="L267" s="138"/>
      <c r="M267" s="138"/>
      <c r="N267" s="138"/>
      <c r="O267" s="138"/>
      <c r="P267" s="138"/>
    </row>
    <row r="268">
      <c r="A268" s="138"/>
      <c r="B268" s="138"/>
      <c r="C268" s="138"/>
      <c r="D268" s="138"/>
      <c r="E268" s="138"/>
      <c r="F268" s="138"/>
      <c r="G268" s="138"/>
      <c r="H268" s="138"/>
      <c r="I268" s="138"/>
      <c r="J268" s="138"/>
      <c r="K268" s="138"/>
      <c r="L268" s="138"/>
      <c r="M268" s="138"/>
      <c r="N268" s="138"/>
      <c r="O268" s="138"/>
      <c r="P268" s="138"/>
    </row>
    <row r="269">
      <c r="A269" s="138"/>
      <c r="B269" s="138"/>
      <c r="C269" s="138"/>
      <c r="D269" s="138"/>
      <c r="E269" s="138"/>
      <c r="F269" s="138"/>
      <c r="G269" s="138"/>
      <c r="H269" s="138"/>
      <c r="I269" s="138"/>
      <c r="J269" s="138"/>
      <c r="K269" s="138"/>
      <c r="L269" s="138"/>
      <c r="M269" s="138"/>
      <c r="N269" s="138"/>
      <c r="O269" s="138"/>
      <c r="P269" s="138"/>
    </row>
    <row r="270">
      <c r="A270" s="138"/>
      <c r="B270" s="138"/>
      <c r="C270" s="138"/>
      <c r="D270" s="138"/>
      <c r="E270" s="138"/>
      <c r="F270" s="138"/>
      <c r="G270" s="138"/>
      <c r="H270" s="138"/>
      <c r="I270" s="138"/>
      <c r="J270" s="138"/>
      <c r="K270" s="138"/>
      <c r="L270" s="138"/>
      <c r="M270" s="138"/>
      <c r="N270" s="138"/>
      <c r="O270" s="138"/>
      <c r="P270" s="138"/>
    </row>
    <row r="271">
      <c r="A271" s="138"/>
      <c r="B271" s="138"/>
      <c r="C271" s="138"/>
      <c r="D271" s="138"/>
      <c r="E271" s="138"/>
      <c r="F271" s="138"/>
      <c r="G271" s="138"/>
      <c r="H271" s="138"/>
      <c r="I271" s="138"/>
      <c r="J271" s="138"/>
      <c r="K271" s="138"/>
      <c r="L271" s="138"/>
      <c r="M271" s="138"/>
      <c r="N271" s="138"/>
      <c r="O271" s="138"/>
      <c r="P271" s="138"/>
    </row>
    <row r="272">
      <c r="A272" s="138"/>
      <c r="B272" s="138"/>
      <c r="C272" s="138"/>
      <c r="D272" s="138"/>
      <c r="E272" s="138"/>
      <c r="F272" s="138"/>
      <c r="G272" s="138"/>
      <c r="H272" s="138"/>
      <c r="I272" s="138"/>
      <c r="J272" s="138"/>
      <c r="K272" s="138"/>
      <c r="L272" s="138"/>
      <c r="M272" s="138"/>
      <c r="N272" s="138"/>
      <c r="O272" s="138"/>
      <c r="P272" s="138"/>
    </row>
    <row r="273">
      <c r="A273" s="138"/>
      <c r="B273" s="138"/>
      <c r="C273" s="138"/>
      <c r="D273" s="138"/>
      <c r="E273" s="138"/>
      <c r="F273" s="138"/>
      <c r="G273" s="138"/>
      <c r="H273" s="138"/>
      <c r="I273" s="138"/>
      <c r="J273" s="138"/>
      <c r="K273" s="138"/>
      <c r="L273" s="138"/>
      <c r="M273" s="138"/>
      <c r="N273" s="138"/>
      <c r="O273" s="138"/>
      <c r="P273" s="138"/>
    </row>
    <row r="274">
      <c r="A274" s="138"/>
      <c r="B274" s="138"/>
      <c r="C274" s="138"/>
      <c r="D274" s="138"/>
      <c r="E274" s="138"/>
      <c r="F274" s="138"/>
      <c r="G274" s="138"/>
      <c r="H274" s="138"/>
      <c r="I274" s="138"/>
      <c r="J274" s="138"/>
      <c r="K274" s="138"/>
      <c r="L274" s="138"/>
      <c r="M274" s="138"/>
      <c r="N274" s="138"/>
      <c r="O274" s="138"/>
      <c r="P274" s="138"/>
    </row>
    <row r="275">
      <c r="A275" s="138"/>
      <c r="B275" s="138"/>
      <c r="C275" s="138"/>
      <c r="D275" s="138"/>
      <c r="E275" s="138"/>
      <c r="F275" s="138"/>
      <c r="G275" s="138"/>
      <c r="H275" s="138"/>
      <c r="I275" s="138"/>
      <c r="J275" s="138"/>
      <c r="K275" s="138"/>
      <c r="L275" s="138"/>
      <c r="M275" s="138"/>
      <c r="N275" s="138"/>
      <c r="O275" s="138"/>
      <c r="P275" s="138"/>
    </row>
    <row r="276">
      <c r="A276" s="138"/>
      <c r="B276" s="138"/>
      <c r="C276" s="138"/>
      <c r="D276" s="138"/>
      <c r="E276" s="138"/>
      <c r="F276" s="138"/>
      <c r="G276" s="138"/>
      <c r="H276" s="138"/>
      <c r="I276" s="138"/>
      <c r="J276" s="138"/>
      <c r="K276" s="138"/>
      <c r="L276" s="138"/>
      <c r="M276" s="138"/>
      <c r="N276" s="138"/>
      <c r="O276" s="138"/>
      <c r="P276" s="138"/>
    </row>
    <row r="277">
      <c r="A277" s="138"/>
      <c r="B277" s="138"/>
      <c r="C277" s="138"/>
      <c r="D277" s="138"/>
      <c r="E277" s="138"/>
      <c r="F277" s="138"/>
      <c r="G277" s="138"/>
      <c r="H277" s="138"/>
      <c r="I277" s="138"/>
      <c r="J277" s="138"/>
      <c r="K277" s="138"/>
      <c r="L277" s="138"/>
      <c r="M277" s="138"/>
      <c r="N277" s="138"/>
      <c r="O277" s="138"/>
      <c r="P277" s="138"/>
    </row>
    <row r="278">
      <c r="A278" s="138"/>
      <c r="B278" s="138"/>
      <c r="C278" s="138"/>
      <c r="D278" s="138"/>
      <c r="E278" s="138"/>
      <c r="F278" s="138"/>
      <c r="G278" s="138"/>
      <c r="H278" s="138"/>
      <c r="I278" s="138"/>
      <c r="J278" s="138"/>
      <c r="K278" s="138"/>
      <c r="L278" s="138"/>
      <c r="M278" s="138"/>
      <c r="N278" s="138"/>
      <c r="O278" s="138"/>
      <c r="P278" s="138"/>
    </row>
    <row r="279">
      <c r="A279" s="138"/>
      <c r="B279" s="138"/>
      <c r="C279" s="138"/>
      <c r="D279" s="138"/>
      <c r="E279" s="138"/>
      <c r="F279" s="138"/>
      <c r="G279" s="138"/>
      <c r="H279" s="138"/>
      <c r="I279" s="138"/>
      <c r="J279" s="138"/>
      <c r="K279" s="138"/>
      <c r="L279" s="138"/>
      <c r="M279" s="138"/>
      <c r="N279" s="138"/>
      <c r="O279" s="138"/>
      <c r="P279" s="138"/>
    </row>
    <row r="280">
      <c r="A280" s="138"/>
      <c r="B280" s="138"/>
      <c r="C280" s="138"/>
      <c r="D280" s="138"/>
      <c r="E280" s="138"/>
      <c r="F280" s="138"/>
      <c r="G280" s="138"/>
      <c r="H280" s="138"/>
      <c r="I280" s="138"/>
      <c r="J280" s="138"/>
      <c r="K280" s="138"/>
      <c r="L280" s="138"/>
      <c r="M280" s="138"/>
      <c r="N280" s="138"/>
      <c r="O280" s="138"/>
      <c r="P280" s="138"/>
    </row>
    <row r="281">
      <c r="A281" s="138"/>
      <c r="B281" s="138"/>
      <c r="C281" s="138"/>
      <c r="D281" s="138"/>
      <c r="E281" s="138"/>
      <c r="F281" s="138"/>
      <c r="G281" s="138"/>
      <c r="H281" s="138"/>
      <c r="I281" s="138"/>
      <c r="J281" s="138"/>
      <c r="K281" s="138"/>
      <c r="L281" s="138"/>
      <c r="M281" s="138"/>
      <c r="N281" s="138"/>
      <c r="O281" s="138"/>
      <c r="P281" s="138"/>
    </row>
    <row r="282">
      <c r="A282" s="138"/>
      <c r="B282" s="138"/>
      <c r="C282" s="138"/>
      <c r="D282" s="138"/>
      <c r="E282" s="138"/>
      <c r="F282" s="138"/>
      <c r="G282" s="138"/>
      <c r="H282" s="138"/>
      <c r="I282" s="138"/>
      <c r="J282" s="138"/>
      <c r="K282" s="138"/>
      <c r="L282" s="138"/>
      <c r="M282" s="138"/>
      <c r="N282" s="138"/>
      <c r="O282" s="138"/>
      <c r="P282" s="138"/>
    </row>
    <row r="283">
      <c r="A283" s="138"/>
      <c r="B283" s="138"/>
      <c r="C283" s="138"/>
      <c r="D283" s="138"/>
      <c r="E283" s="138"/>
      <c r="F283" s="138"/>
      <c r="G283" s="138"/>
      <c r="H283" s="138"/>
      <c r="I283" s="138"/>
      <c r="J283" s="138"/>
      <c r="K283" s="138"/>
      <c r="L283" s="138"/>
      <c r="M283" s="138"/>
      <c r="N283" s="138"/>
      <c r="O283" s="138"/>
      <c r="P283" s="138"/>
    </row>
    <row r="284">
      <c r="A284" s="138"/>
      <c r="B284" s="138"/>
      <c r="C284" s="138"/>
      <c r="D284" s="138"/>
      <c r="E284" s="138"/>
      <c r="F284" s="138"/>
      <c r="G284" s="138"/>
      <c r="H284" s="138"/>
      <c r="I284" s="138"/>
      <c r="J284" s="138"/>
      <c r="K284" s="138"/>
      <c r="L284" s="138"/>
      <c r="M284" s="138"/>
      <c r="N284" s="138"/>
      <c r="O284" s="138"/>
      <c r="P284" s="138"/>
    </row>
    <row r="285">
      <c r="A285" s="138"/>
      <c r="B285" s="138"/>
      <c r="C285" s="138"/>
      <c r="D285" s="138"/>
      <c r="E285" s="138"/>
      <c r="F285" s="138"/>
      <c r="G285" s="138"/>
      <c r="H285" s="138"/>
      <c r="I285" s="138"/>
      <c r="J285" s="138"/>
      <c r="K285" s="138"/>
      <c r="L285" s="138"/>
      <c r="M285" s="138"/>
      <c r="N285" s="138"/>
      <c r="O285" s="138"/>
      <c r="P285" s="138"/>
    </row>
    <row r="286">
      <c r="A286" s="138"/>
      <c r="B286" s="138"/>
      <c r="C286" s="138"/>
      <c r="D286" s="138"/>
      <c r="E286" s="138"/>
      <c r="F286" s="138"/>
      <c r="G286" s="138"/>
      <c r="H286" s="138"/>
      <c r="I286" s="138"/>
      <c r="J286" s="138"/>
      <c r="K286" s="138"/>
      <c r="L286" s="138"/>
      <c r="M286" s="138"/>
      <c r="N286" s="138"/>
      <c r="O286" s="138"/>
      <c r="P286" s="138"/>
    </row>
    <row r="287">
      <c r="A287" s="138"/>
      <c r="B287" s="138"/>
      <c r="C287" s="138"/>
      <c r="D287" s="138"/>
      <c r="E287" s="138"/>
      <c r="F287" s="138"/>
      <c r="G287" s="138"/>
      <c r="H287" s="138"/>
      <c r="I287" s="138"/>
      <c r="J287" s="138"/>
      <c r="K287" s="138"/>
      <c r="L287" s="138"/>
      <c r="M287" s="138"/>
      <c r="N287" s="138"/>
      <c r="O287" s="138"/>
      <c r="P287" s="138"/>
    </row>
    <row r="288">
      <c r="A288" s="138"/>
      <c r="B288" s="138"/>
      <c r="C288" s="138"/>
      <c r="D288" s="138"/>
      <c r="E288" s="138"/>
      <c r="F288" s="138"/>
      <c r="G288" s="138"/>
      <c r="H288" s="138"/>
      <c r="I288" s="138"/>
      <c r="J288" s="138"/>
      <c r="K288" s="138"/>
      <c r="L288" s="138"/>
      <c r="M288" s="138"/>
      <c r="N288" s="138"/>
      <c r="O288" s="138"/>
      <c r="P288" s="138"/>
    </row>
    <row r="289">
      <c r="A289" s="138"/>
      <c r="B289" s="138"/>
      <c r="C289" s="138"/>
      <c r="D289" s="138"/>
      <c r="E289" s="138"/>
      <c r="F289" s="138"/>
      <c r="G289" s="138"/>
      <c r="H289" s="138"/>
      <c r="I289" s="138"/>
      <c r="J289" s="138"/>
      <c r="K289" s="138"/>
      <c r="L289" s="138"/>
      <c r="M289" s="138"/>
      <c r="N289" s="138"/>
      <c r="O289" s="138"/>
      <c r="P289" s="138"/>
    </row>
    <row r="290">
      <c r="A290" s="138"/>
      <c r="B290" s="138"/>
      <c r="C290" s="138"/>
      <c r="D290" s="138"/>
      <c r="E290" s="138"/>
      <c r="F290" s="138"/>
      <c r="G290" s="138"/>
      <c r="H290" s="138"/>
      <c r="I290" s="138"/>
      <c r="J290" s="138"/>
      <c r="K290" s="138"/>
      <c r="L290" s="138"/>
      <c r="M290" s="138"/>
      <c r="N290" s="138"/>
      <c r="O290" s="138"/>
      <c r="P290" s="138"/>
    </row>
    <row r="291">
      <c r="A291" s="138"/>
      <c r="B291" s="138"/>
      <c r="C291" s="138"/>
      <c r="D291" s="138"/>
      <c r="E291" s="138"/>
      <c r="F291" s="138"/>
      <c r="G291" s="138"/>
      <c r="H291" s="138"/>
      <c r="I291" s="138"/>
      <c r="J291" s="138"/>
      <c r="K291" s="138"/>
      <c r="L291" s="138"/>
      <c r="M291" s="138"/>
      <c r="N291" s="138"/>
      <c r="O291" s="138"/>
      <c r="P291" s="138"/>
    </row>
    <row r="292">
      <c r="A292" s="138"/>
      <c r="B292" s="138"/>
      <c r="C292" s="138"/>
      <c r="D292" s="138"/>
      <c r="E292" s="138"/>
      <c r="F292" s="138"/>
      <c r="G292" s="138"/>
      <c r="H292" s="138"/>
      <c r="I292" s="138"/>
      <c r="J292" s="138"/>
      <c r="K292" s="138"/>
      <c r="L292" s="138"/>
      <c r="M292" s="138"/>
      <c r="N292" s="138"/>
      <c r="O292" s="138"/>
      <c r="P292" s="138"/>
    </row>
    <row r="293">
      <c r="A293" s="138"/>
      <c r="B293" s="138"/>
      <c r="C293" s="138"/>
      <c r="D293" s="138"/>
      <c r="E293" s="138"/>
      <c r="F293" s="138"/>
      <c r="G293" s="138"/>
      <c r="H293" s="138"/>
      <c r="I293" s="138"/>
      <c r="J293" s="138"/>
      <c r="K293" s="138"/>
      <c r="L293" s="138"/>
      <c r="M293" s="138"/>
      <c r="N293" s="138"/>
      <c r="O293" s="138"/>
      <c r="P293" s="138"/>
    </row>
    <row r="294">
      <c r="A294" s="138"/>
      <c r="B294" s="138"/>
      <c r="C294" s="138"/>
      <c r="D294" s="138"/>
      <c r="E294" s="138"/>
      <c r="F294" s="138"/>
      <c r="G294" s="138"/>
      <c r="H294" s="138"/>
      <c r="I294" s="138"/>
      <c r="J294" s="138"/>
      <c r="K294" s="138"/>
      <c r="L294" s="138"/>
      <c r="M294" s="138"/>
      <c r="N294" s="138"/>
      <c r="O294" s="138"/>
      <c r="P294" s="138"/>
    </row>
    <row r="295">
      <c r="A295" s="138"/>
      <c r="B295" s="138"/>
      <c r="C295" s="138"/>
      <c r="D295" s="138"/>
      <c r="E295" s="138"/>
      <c r="F295" s="138"/>
      <c r="G295" s="138"/>
      <c r="H295" s="138"/>
      <c r="I295" s="138"/>
      <c r="J295" s="138"/>
      <c r="K295" s="138"/>
      <c r="L295" s="138"/>
      <c r="M295" s="138"/>
      <c r="N295" s="138"/>
      <c r="O295" s="138"/>
      <c r="P295" s="138"/>
    </row>
    <row r="296">
      <c r="A296" s="138"/>
      <c r="B296" s="138"/>
      <c r="C296" s="138"/>
      <c r="D296" s="138"/>
      <c r="E296" s="138"/>
      <c r="F296" s="138"/>
      <c r="G296" s="138"/>
      <c r="H296" s="138"/>
      <c r="I296" s="138"/>
      <c r="J296" s="138"/>
      <c r="K296" s="138"/>
      <c r="L296" s="138"/>
      <c r="M296" s="138"/>
      <c r="N296" s="138"/>
      <c r="O296" s="138"/>
      <c r="P296" s="138"/>
    </row>
    <row r="297">
      <c r="A297" s="138"/>
      <c r="B297" s="138"/>
      <c r="C297" s="138"/>
      <c r="D297" s="138"/>
      <c r="E297" s="138"/>
      <c r="F297" s="138"/>
      <c r="G297" s="138"/>
      <c r="H297" s="138"/>
      <c r="I297" s="138"/>
      <c r="J297" s="138"/>
      <c r="K297" s="138"/>
      <c r="L297" s="138"/>
      <c r="M297" s="138"/>
      <c r="N297" s="138"/>
      <c r="O297" s="138"/>
      <c r="P297" s="138"/>
    </row>
    <row r="298">
      <c r="A298" s="138"/>
      <c r="B298" s="138"/>
      <c r="C298" s="138"/>
      <c r="D298" s="138"/>
      <c r="E298" s="138"/>
      <c r="F298" s="138"/>
      <c r="G298" s="138"/>
      <c r="H298" s="138"/>
      <c r="I298" s="138"/>
      <c r="J298" s="138"/>
      <c r="K298" s="138"/>
      <c r="L298" s="138"/>
      <c r="M298" s="138"/>
      <c r="N298" s="138"/>
      <c r="O298" s="138"/>
      <c r="P298" s="138"/>
    </row>
    <row r="299">
      <c r="A299" s="138"/>
      <c r="B299" s="138"/>
      <c r="C299" s="138"/>
      <c r="D299" s="138"/>
      <c r="E299" s="138"/>
      <c r="F299" s="138"/>
      <c r="G299" s="138"/>
      <c r="H299" s="138"/>
      <c r="I299" s="138"/>
      <c r="J299" s="138"/>
      <c r="K299" s="138"/>
      <c r="L299" s="138"/>
      <c r="M299" s="138"/>
      <c r="N299" s="138"/>
      <c r="O299" s="138"/>
      <c r="P299" s="138"/>
    </row>
    <row r="300">
      <c r="A300" s="138"/>
      <c r="B300" s="138"/>
      <c r="C300" s="138"/>
      <c r="D300" s="138"/>
      <c r="E300" s="138"/>
      <c r="F300" s="138"/>
      <c r="G300" s="138"/>
      <c r="H300" s="138"/>
      <c r="I300" s="138"/>
      <c r="J300" s="138"/>
      <c r="K300" s="138"/>
      <c r="L300" s="138"/>
      <c r="M300" s="138"/>
      <c r="N300" s="138"/>
      <c r="O300" s="138"/>
      <c r="P300" s="138"/>
    </row>
    <row r="301">
      <c r="A301" s="138"/>
      <c r="B301" s="138"/>
      <c r="C301" s="138"/>
      <c r="D301" s="138"/>
      <c r="E301" s="138"/>
      <c r="F301" s="138"/>
      <c r="G301" s="138"/>
      <c r="H301" s="138"/>
      <c r="I301" s="138"/>
      <c r="J301" s="138"/>
      <c r="K301" s="138"/>
      <c r="L301" s="138"/>
      <c r="M301" s="138"/>
      <c r="N301" s="138"/>
      <c r="O301" s="138"/>
      <c r="P301" s="138"/>
    </row>
    <row r="302">
      <c r="A302" s="138"/>
      <c r="B302" s="138"/>
      <c r="C302" s="138"/>
      <c r="D302" s="138"/>
      <c r="E302" s="138"/>
      <c r="F302" s="138"/>
      <c r="G302" s="138"/>
      <c r="H302" s="138"/>
      <c r="I302" s="138"/>
      <c r="J302" s="138"/>
      <c r="K302" s="138"/>
      <c r="L302" s="138"/>
      <c r="M302" s="138"/>
      <c r="N302" s="138"/>
      <c r="O302" s="138"/>
      <c r="P302" s="138"/>
    </row>
    <row r="303">
      <c r="A303" s="138"/>
      <c r="B303" s="138"/>
      <c r="C303" s="138"/>
      <c r="D303" s="138"/>
      <c r="E303" s="138"/>
      <c r="F303" s="138"/>
      <c r="G303" s="138"/>
      <c r="H303" s="138"/>
      <c r="I303" s="138"/>
      <c r="J303" s="138"/>
      <c r="K303" s="138"/>
      <c r="L303" s="138"/>
      <c r="M303" s="138"/>
      <c r="N303" s="138"/>
      <c r="O303" s="138"/>
      <c r="P303" s="138"/>
    </row>
    <row r="304">
      <c r="A304" s="138"/>
      <c r="B304" s="138"/>
      <c r="C304" s="138"/>
      <c r="D304" s="138"/>
      <c r="E304" s="138"/>
      <c r="F304" s="138"/>
      <c r="G304" s="138"/>
      <c r="H304" s="138"/>
      <c r="I304" s="138"/>
      <c r="J304" s="138"/>
      <c r="K304" s="138"/>
      <c r="L304" s="138"/>
      <c r="M304" s="138"/>
      <c r="N304" s="138"/>
      <c r="O304" s="138"/>
      <c r="P304" s="138"/>
    </row>
    <row r="305">
      <c r="A305" s="138"/>
      <c r="B305" s="138"/>
      <c r="C305" s="138"/>
      <c r="D305" s="138"/>
      <c r="E305" s="138"/>
      <c r="F305" s="138"/>
      <c r="G305" s="138"/>
      <c r="H305" s="138"/>
      <c r="I305" s="138"/>
      <c r="J305" s="138"/>
      <c r="K305" s="138"/>
      <c r="L305" s="138"/>
      <c r="M305" s="138"/>
      <c r="N305" s="138"/>
      <c r="O305" s="138"/>
      <c r="P305" s="138"/>
    </row>
    <row r="306">
      <c r="A306" s="138"/>
      <c r="B306" s="138"/>
      <c r="C306" s="138"/>
      <c r="D306" s="138"/>
      <c r="E306" s="138"/>
      <c r="F306" s="138"/>
      <c r="G306" s="138"/>
      <c r="H306" s="138"/>
      <c r="I306" s="138"/>
      <c r="J306" s="138"/>
      <c r="K306" s="138"/>
      <c r="L306" s="138"/>
      <c r="M306" s="138"/>
      <c r="N306" s="138"/>
      <c r="O306" s="138"/>
      <c r="P306" s="138"/>
    </row>
    <row r="307">
      <c r="A307" s="138"/>
      <c r="B307" s="138"/>
      <c r="C307" s="138"/>
      <c r="D307" s="138"/>
      <c r="E307" s="138"/>
      <c r="F307" s="138"/>
      <c r="G307" s="138"/>
      <c r="H307" s="138"/>
      <c r="I307" s="138"/>
      <c r="J307" s="138"/>
      <c r="K307" s="138"/>
      <c r="L307" s="138"/>
      <c r="M307" s="138"/>
      <c r="N307" s="138"/>
      <c r="O307" s="138"/>
      <c r="P307" s="138"/>
    </row>
    <row r="308">
      <c r="A308" s="138"/>
      <c r="B308" s="138"/>
      <c r="C308" s="138"/>
      <c r="D308" s="138"/>
      <c r="E308" s="138"/>
      <c r="F308" s="138"/>
      <c r="G308" s="138"/>
      <c r="H308" s="138"/>
      <c r="I308" s="138"/>
      <c r="J308" s="138"/>
      <c r="K308" s="138"/>
      <c r="L308" s="138"/>
      <c r="M308" s="138"/>
      <c r="N308" s="138"/>
      <c r="O308" s="138"/>
      <c r="P308" s="138"/>
    </row>
    <row r="309">
      <c r="A309" s="138"/>
      <c r="B309" s="138"/>
      <c r="C309" s="138"/>
      <c r="D309" s="138"/>
      <c r="E309" s="138"/>
      <c r="F309" s="138"/>
      <c r="G309" s="138"/>
      <c r="H309" s="138"/>
      <c r="I309" s="138"/>
      <c r="J309" s="138"/>
      <c r="K309" s="138"/>
      <c r="L309" s="138"/>
      <c r="M309" s="138"/>
      <c r="N309" s="138"/>
      <c r="O309" s="138"/>
      <c r="P309" s="138"/>
    </row>
    <row r="310">
      <c r="A310" s="138"/>
      <c r="B310" s="138"/>
      <c r="C310" s="138"/>
      <c r="D310" s="138"/>
      <c r="E310" s="138"/>
      <c r="F310" s="138"/>
      <c r="G310" s="138"/>
      <c r="H310" s="138"/>
      <c r="I310" s="138"/>
      <c r="J310" s="138"/>
      <c r="K310" s="138"/>
      <c r="L310" s="138"/>
      <c r="M310" s="138"/>
      <c r="N310" s="138"/>
      <c r="O310" s="138"/>
      <c r="P310" s="138"/>
    </row>
    <row r="311">
      <c r="A311" s="138"/>
      <c r="B311" s="138"/>
      <c r="C311" s="138"/>
      <c r="D311" s="138"/>
      <c r="E311" s="138"/>
      <c r="F311" s="138"/>
      <c r="G311" s="138"/>
      <c r="H311" s="138"/>
      <c r="I311" s="138"/>
      <c r="J311" s="138"/>
      <c r="K311" s="138"/>
      <c r="L311" s="138"/>
      <c r="M311" s="138"/>
      <c r="N311" s="138"/>
      <c r="O311" s="138"/>
      <c r="P311" s="138"/>
    </row>
    <row r="312">
      <c r="A312" s="138"/>
      <c r="B312" s="138"/>
      <c r="C312" s="138"/>
      <c r="D312" s="138"/>
      <c r="E312" s="138"/>
      <c r="F312" s="138"/>
      <c r="G312" s="138"/>
      <c r="H312" s="138"/>
      <c r="I312" s="138"/>
      <c r="J312" s="138"/>
      <c r="K312" s="138"/>
      <c r="L312" s="138"/>
      <c r="M312" s="138"/>
      <c r="N312" s="138"/>
      <c r="O312" s="138"/>
      <c r="P312" s="138"/>
    </row>
    <row r="313">
      <c r="A313" s="138"/>
      <c r="B313" s="138"/>
      <c r="C313" s="138"/>
      <c r="D313" s="138"/>
      <c r="E313" s="138"/>
      <c r="F313" s="138"/>
      <c r="G313" s="138"/>
      <c r="H313" s="138"/>
      <c r="I313" s="138"/>
      <c r="J313" s="138"/>
      <c r="K313" s="138"/>
      <c r="L313" s="138"/>
      <c r="M313" s="138"/>
      <c r="N313" s="138"/>
      <c r="O313" s="138"/>
      <c r="P313" s="138"/>
    </row>
    <row r="314">
      <c r="A314" s="138"/>
      <c r="B314" s="138"/>
      <c r="C314" s="138"/>
      <c r="D314" s="138"/>
      <c r="E314" s="138"/>
      <c r="F314" s="138"/>
      <c r="G314" s="138"/>
      <c r="H314" s="138"/>
      <c r="I314" s="138"/>
      <c r="J314" s="138"/>
      <c r="K314" s="138"/>
      <c r="L314" s="138"/>
      <c r="M314" s="138"/>
      <c r="N314" s="138"/>
      <c r="O314" s="138"/>
      <c r="P314" s="138"/>
    </row>
    <row r="315">
      <c r="A315" s="138"/>
      <c r="B315" s="138"/>
      <c r="C315" s="138"/>
      <c r="D315" s="138"/>
      <c r="E315" s="138"/>
      <c r="F315" s="138"/>
      <c r="G315" s="138"/>
      <c r="H315" s="138"/>
      <c r="I315" s="138"/>
      <c r="J315" s="138"/>
      <c r="K315" s="138"/>
      <c r="L315" s="138"/>
      <c r="M315" s="138"/>
      <c r="N315" s="138"/>
      <c r="O315" s="138"/>
      <c r="P315" s="138"/>
    </row>
    <row r="316">
      <c r="A316" s="138"/>
      <c r="B316" s="138"/>
      <c r="C316" s="138"/>
      <c r="D316" s="138"/>
      <c r="E316" s="138"/>
      <c r="F316" s="138"/>
      <c r="G316" s="138"/>
      <c r="H316" s="138"/>
      <c r="I316" s="138"/>
      <c r="J316" s="138"/>
      <c r="K316" s="138"/>
      <c r="L316" s="138"/>
      <c r="M316" s="138"/>
      <c r="N316" s="138"/>
      <c r="O316" s="138"/>
      <c r="P316" s="138"/>
    </row>
    <row r="317">
      <c r="A317" s="138"/>
      <c r="B317" s="138"/>
      <c r="C317" s="138"/>
      <c r="D317" s="138"/>
      <c r="E317" s="138"/>
      <c r="F317" s="138"/>
      <c r="G317" s="138"/>
      <c r="H317" s="138"/>
      <c r="I317" s="138"/>
      <c r="J317" s="138"/>
      <c r="K317" s="138"/>
      <c r="L317" s="138"/>
      <c r="M317" s="138"/>
      <c r="N317" s="138"/>
      <c r="O317" s="138"/>
      <c r="P317" s="138"/>
    </row>
    <row r="318">
      <c r="A318" s="138"/>
      <c r="B318" s="138"/>
      <c r="C318" s="138"/>
      <c r="D318" s="138"/>
      <c r="E318" s="138"/>
      <c r="F318" s="138"/>
      <c r="G318" s="138"/>
      <c r="H318" s="138"/>
      <c r="I318" s="138"/>
      <c r="J318" s="138"/>
      <c r="K318" s="138"/>
      <c r="L318" s="138"/>
      <c r="M318" s="138"/>
      <c r="N318" s="138"/>
      <c r="O318" s="138"/>
      <c r="P318" s="138"/>
    </row>
    <row r="319">
      <c r="A319" s="138"/>
      <c r="B319" s="138"/>
      <c r="C319" s="138"/>
      <c r="D319" s="138"/>
      <c r="E319" s="138"/>
      <c r="F319" s="138"/>
      <c r="G319" s="138"/>
      <c r="H319" s="138"/>
      <c r="I319" s="138"/>
      <c r="J319" s="138"/>
      <c r="K319" s="138"/>
      <c r="L319" s="138"/>
      <c r="M319" s="138"/>
      <c r="N319" s="138"/>
      <c r="O319" s="138"/>
      <c r="P319" s="138"/>
    </row>
    <row r="320">
      <c r="A320" s="138"/>
      <c r="B320" s="138"/>
      <c r="C320" s="138"/>
      <c r="D320" s="138"/>
      <c r="E320" s="138"/>
      <c r="F320" s="138"/>
      <c r="G320" s="138"/>
      <c r="H320" s="138"/>
      <c r="I320" s="138"/>
      <c r="J320" s="138"/>
      <c r="K320" s="138"/>
      <c r="L320" s="138"/>
      <c r="M320" s="138"/>
      <c r="N320" s="138"/>
      <c r="O320" s="138"/>
      <c r="P320" s="138"/>
    </row>
    <row r="321">
      <c r="A321" s="138"/>
      <c r="B321" s="138"/>
      <c r="C321" s="138"/>
      <c r="D321" s="138"/>
      <c r="E321" s="138"/>
      <c r="F321" s="138"/>
      <c r="G321" s="138"/>
      <c r="H321" s="138"/>
      <c r="I321" s="138"/>
      <c r="J321" s="138"/>
      <c r="K321" s="138"/>
      <c r="L321" s="138"/>
      <c r="M321" s="138"/>
      <c r="N321" s="138"/>
      <c r="O321" s="138"/>
      <c r="P321" s="138"/>
    </row>
    <row r="322">
      <c r="A322" s="138"/>
      <c r="B322" s="138"/>
      <c r="C322" s="138"/>
      <c r="D322" s="138"/>
      <c r="E322" s="138"/>
      <c r="F322" s="138"/>
      <c r="G322" s="138"/>
      <c r="H322" s="138"/>
      <c r="I322" s="138"/>
      <c r="J322" s="138"/>
      <c r="K322" s="138"/>
      <c r="L322" s="138"/>
      <c r="M322" s="138"/>
      <c r="N322" s="138"/>
      <c r="O322" s="138"/>
      <c r="P322" s="138"/>
    </row>
    <row r="323">
      <c r="A323" s="138"/>
      <c r="B323" s="138"/>
      <c r="C323" s="138"/>
      <c r="D323" s="138"/>
      <c r="E323" s="138"/>
      <c r="F323" s="138"/>
      <c r="G323" s="138"/>
      <c r="H323" s="138"/>
      <c r="I323" s="138"/>
      <c r="J323" s="138"/>
      <c r="K323" s="138"/>
      <c r="L323" s="138"/>
      <c r="M323" s="138"/>
      <c r="N323" s="138"/>
      <c r="O323" s="138"/>
      <c r="P323" s="138"/>
    </row>
    <row r="324">
      <c r="A324" s="138"/>
      <c r="B324" s="138"/>
      <c r="C324" s="138"/>
      <c r="D324" s="138"/>
      <c r="E324" s="138"/>
      <c r="F324" s="138"/>
      <c r="G324" s="138"/>
      <c r="H324" s="138"/>
      <c r="I324" s="138"/>
      <c r="J324" s="138"/>
      <c r="K324" s="138"/>
      <c r="L324" s="138"/>
      <c r="M324" s="138"/>
      <c r="N324" s="138"/>
      <c r="O324" s="138"/>
      <c r="P324" s="138"/>
    </row>
    <row r="325">
      <c r="A325" s="138"/>
      <c r="B325" s="138"/>
      <c r="C325" s="138"/>
      <c r="D325" s="138"/>
      <c r="E325" s="138"/>
      <c r="F325" s="138"/>
      <c r="G325" s="138"/>
      <c r="H325" s="138"/>
      <c r="I325" s="138"/>
      <c r="J325" s="138"/>
      <c r="K325" s="138"/>
      <c r="L325" s="138"/>
      <c r="M325" s="138"/>
      <c r="N325" s="138"/>
      <c r="O325" s="138"/>
      <c r="P325" s="138"/>
    </row>
    <row r="326">
      <c r="A326" s="138"/>
      <c r="B326" s="138"/>
      <c r="C326" s="138"/>
      <c r="D326" s="138"/>
      <c r="E326" s="138"/>
      <c r="F326" s="138"/>
      <c r="G326" s="138"/>
      <c r="H326" s="138"/>
      <c r="I326" s="138"/>
      <c r="J326" s="138"/>
      <c r="K326" s="138"/>
      <c r="L326" s="138"/>
      <c r="M326" s="138"/>
      <c r="N326" s="138"/>
      <c r="O326" s="138"/>
      <c r="P326" s="138"/>
    </row>
    <row r="327">
      <c r="A327" s="138"/>
      <c r="B327" s="138"/>
      <c r="C327" s="138"/>
      <c r="D327" s="138"/>
      <c r="E327" s="138"/>
      <c r="F327" s="138"/>
      <c r="G327" s="138"/>
      <c r="H327" s="138"/>
      <c r="I327" s="138"/>
      <c r="J327" s="138"/>
      <c r="K327" s="138"/>
      <c r="L327" s="138"/>
      <c r="M327" s="138"/>
      <c r="N327" s="138"/>
      <c r="O327" s="138"/>
      <c r="P327" s="138"/>
    </row>
    <row r="328">
      <c r="A328" s="138"/>
      <c r="B328" s="138"/>
      <c r="C328" s="138"/>
      <c r="D328" s="138"/>
      <c r="E328" s="138"/>
      <c r="F328" s="138"/>
      <c r="G328" s="138"/>
      <c r="H328" s="138"/>
      <c r="I328" s="138"/>
      <c r="J328" s="138"/>
      <c r="K328" s="138"/>
      <c r="L328" s="138"/>
      <c r="M328" s="138"/>
      <c r="N328" s="138"/>
      <c r="O328" s="138"/>
      <c r="P328" s="138"/>
    </row>
    <row r="329">
      <c r="A329" s="138"/>
      <c r="B329" s="138"/>
      <c r="C329" s="138"/>
      <c r="D329" s="138"/>
      <c r="E329" s="138"/>
      <c r="F329" s="138"/>
      <c r="G329" s="138"/>
      <c r="H329" s="138"/>
      <c r="I329" s="138"/>
      <c r="J329" s="138"/>
      <c r="K329" s="138"/>
      <c r="L329" s="138"/>
      <c r="M329" s="138"/>
      <c r="N329" s="138"/>
      <c r="O329" s="138"/>
      <c r="P329" s="138"/>
    </row>
    <row r="330">
      <c r="A330" s="138"/>
      <c r="B330" s="138"/>
      <c r="C330" s="138"/>
      <c r="D330" s="138"/>
      <c r="E330" s="138"/>
      <c r="F330" s="138"/>
      <c r="G330" s="138"/>
      <c r="H330" s="138"/>
      <c r="I330" s="138"/>
      <c r="J330" s="138"/>
      <c r="K330" s="138"/>
      <c r="L330" s="138"/>
      <c r="M330" s="138"/>
      <c r="N330" s="138"/>
      <c r="O330" s="138"/>
      <c r="P330" s="138"/>
    </row>
    <row r="331">
      <c r="A331" s="138"/>
      <c r="B331" s="138"/>
      <c r="C331" s="138"/>
      <c r="D331" s="138"/>
      <c r="E331" s="138"/>
      <c r="F331" s="138"/>
      <c r="G331" s="138"/>
      <c r="H331" s="138"/>
      <c r="I331" s="138"/>
      <c r="J331" s="138"/>
      <c r="K331" s="138"/>
      <c r="L331" s="138"/>
      <c r="M331" s="138"/>
      <c r="N331" s="138"/>
      <c r="O331" s="138"/>
      <c r="P331" s="138"/>
    </row>
    <row r="332">
      <c r="A332" s="138"/>
      <c r="B332" s="138"/>
      <c r="C332" s="138"/>
      <c r="D332" s="138"/>
      <c r="E332" s="138"/>
      <c r="F332" s="138"/>
      <c r="G332" s="138"/>
      <c r="H332" s="138"/>
      <c r="I332" s="138"/>
      <c r="J332" s="138"/>
      <c r="K332" s="138"/>
      <c r="L332" s="138"/>
      <c r="M332" s="138"/>
      <c r="N332" s="138"/>
      <c r="O332" s="138"/>
      <c r="P332" s="138"/>
    </row>
    <row r="333">
      <c r="A333" s="138"/>
      <c r="B333" s="138"/>
      <c r="C333" s="138"/>
      <c r="D333" s="138"/>
      <c r="E333" s="138"/>
      <c r="F333" s="138"/>
      <c r="G333" s="138"/>
      <c r="H333" s="138"/>
      <c r="I333" s="138"/>
      <c r="J333" s="138"/>
      <c r="K333" s="138"/>
      <c r="L333" s="138"/>
      <c r="M333" s="138"/>
      <c r="N333" s="138"/>
      <c r="O333" s="138"/>
      <c r="P333" s="138"/>
    </row>
    <row r="334">
      <c r="A334" s="138"/>
      <c r="B334" s="138"/>
      <c r="C334" s="138"/>
      <c r="D334" s="138"/>
      <c r="E334" s="138"/>
      <c r="F334" s="138"/>
      <c r="G334" s="138"/>
      <c r="H334" s="138"/>
      <c r="I334" s="138"/>
      <c r="J334" s="138"/>
      <c r="K334" s="138"/>
      <c r="L334" s="138"/>
      <c r="M334" s="138"/>
      <c r="N334" s="138"/>
      <c r="O334" s="138"/>
      <c r="P334" s="138"/>
    </row>
    <row r="335">
      <c r="A335" s="138"/>
      <c r="B335" s="138"/>
      <c r="C335" s="138"/>
      <c r="D335" s="138"/>
      <c r="E335" s="138"/>
      <c r="F335" s="138"/>
      <c r="G335" s="138"/>
      <c r="H335" s="138"/>
      <c r="I335" s="138"/>
      <c r="J335" s="138"/>
      <c r="K335" s="138"/>
      <c r="L335" s="138"/>
      <c r="M335" s="138"/>
      <c r="N335" s="138"/>
      <c r="O335" s="138"/>
      <c r="P335" s="138"/>
    </row>
    <row r="336">
      <c r="A336" s="138"/>
      <c r="B336" s="138"/>
      <c r="C336" s="138"/>
      <c r="D336" s="138"/>
      <c r="E336" s="138"/>
      <c r="F336" s="138"/>
      <c r="G336" s="138"/>
      <c r="H336" s="138"/>
      <c r="I336" s="138"/>
      <c r="J336" s="138"/>
      <c r="K336" s="138"/>
      <c r="L336" s="138"/>
      <c r="M336" s="138"/>
      <c r="N336" s="138"/>
      <c r="O336" s="138"/>
      <c r="P336" s="138"/>
    </row>
    <row r="337">
      <c r="A337" s="138"/>
      <c r="B337" s="138"/>
      <c r="C337" s="138"/>
      <c r="D337" s="138"/>
      <c r="E337" s="138"/>
      <c r="F337" s="138"/>
      <c r="G337" s="138"/>
      <c r="H337" s="138"/>
      <c r="I337" s="138"/>
      <c r="J337" s="138"/>
      <c r="K337" s="138"/>
      <c r="L337" s="138"/>
      <c r="M337" s="138"/>
      <c r="N337" s="138"/>
      <c r="O337" s="138"/>
      <c r="P337" s="138"/>
    </row>
    <row r="338">
      <c r="A338" s="138"/>
      <c r="B338" s="138"/>
      <c r="C338" s="138"/>
      <c r="D338" s="138"/>
      <c r="E338" s="138"/>
      <c r="F338" s="138"/>
      <c r="G338" s="138"/>
      <c r="H338" s="138"/>
      <c r="I338" s="138"/>
      <c r="J338" s="138"/>
      <c r="K338" s="138"/>
      <c r="L338" s="138"/>
      <c r="M338" s="138"/>
      <c r="N338" s="138"/>
      <c r="O338" s="138"/>
      <c r="P338" s="138"/>
    </row>
    <row r="339">
      <c r="A339" s="138"/>
      <c r="B339" s="138"/>
      <c r="C339" s="138"/>
      <c r="D339" s="138"/>
      <c r="E339" s="138"/>
      <c r="F339" s="138"/>
      <c r="G339" s="138"/>
      <c r="H339" s="138"/>
      <c r="I339" s="138"/>
      <c r="J339" s="138"/>
      <c r="K339" s="138"/>
      <c r="L339" s="138"/>
      <c r="M339" s="138"/>
      <c r="N339" s="138"/>
      <c r="O339" s="138"/>
      <c r="P339" s="138"/>
    </row>
    <row r="340">
      <c r="A340" s="138"/>
      <c r="B340" s="138"/>
      <c r="C340" s="138"/>
      <c r="D340" s="138"/>
      <c r="E340" s="138"/>
      <c r="F340" s="138"/>
      <c r="G340" s="138"/>
      <c r="H340" s="138"/>
      <c r="I340" s="138"/>
      <c r="J340" s="138"/>
      <c r="K340" s="138"/>
      <c r="L340" s="138"/>
      <c r="M340" s="138"/>
      <c r="N340" s="138"/>
      <c r="O340" s="138"/>
      <c r="P340" s="138"/>
    </row>
    <row r="341">
      <c r="A341" s="138"/>
      <c r="B341" s="138"/>
      <c r="C341" s="138"/>
      <c r="D341" s="138"/>
      <c r="E341" s="138"/>
      <c r="F341" s="138"/>
      <c r="G341" s="138"/>
      <c r="H341" s="138"/>
      <c r="I341" s="138"/>
      <c r="J341" s="138"/>
      <c r="K341" s="138"/>
      <c r="L341" s="138"/>
      <c r="M341" s="138"/>
      <c r="N341" s="138"/>
      <c r="O341" s="138"/>
      <c r="P341" s="138"/>
    </row>
    <row r="342">
      <c r="A342" s="138"/>
      <c r="B342" s="138"/>
      <c r="C342" s="138"/>
      <c r="D342" s="138"/>
      <c r="E342" s="138"/>
      <c r="F342" s="138"/>
      <c r="G342" s="138"/>
      <c r="H342" s="138"/>
      <c r="I342" s="138"/>
      <c r="J342" s="138"/>
      <c r="K342" s="138"/>
      <c r="L342" s="138"/>
      <c r="M342" s="138"/>
      <c r="N342" s="138"/>
      <c r="O342" s="138"/>
      <c r="P342" s="138"/>
    </row>
    <row r="343">
      <c r="A343" s="138"/>
      <c r="B343" s="138"/>
      <c r="C343" s="138"/>
      <c r="D343" s="138"/>
      <c r="E343" s="138"/>
      <c r="F343" s="138"/>
      <c r="G343" s="138"/>
      <c r="H343" s="138"/>
      <c r="I343" s="138"/>
      <c r="J343" s="138"/>
      <c r="K343" s="138"/>
      <c r="L343" s="138"/>
      <c r="M343" s="138"/>
      <c r="N343" s="138"/>
      <c r="O343" s="138"/>
      <c r="P343" s="138"/>
    </row>
    <row r="344">
      <c r="A344" s="138"/>
      <c r="B344" s="138"/>
      <c r="C344" s="138"/>
      <c r="D344" s="138"/>
      <c r="E344" s="138"/>
      <c r="F344" s="138"/>
      <c r="G344" s="138"/>
      <c r="H344" s="138"/>
      <c r="I344" s="138"/>
      <c r="J344" s="138"/>
      <c r="K344" s="138"/>
      <c r="L344" s="138"/>
      <c r="M344" s="138"/>
      <c r="N344" s="138"/>
      <c r="O344" s="138"/>
      <c r="P344" s="138"/>
    </row>
    <row r="345">
      <c r="A345" s="138"/>
      <c r="B345" s="138"/>
      <c r="C345" s="138"/>
      <c r="D345" s="138"/>
      <c r="E345" s="138"/>
      <c r="F345" s="138"/>
      <c r="G345" s="138"/>
      <c r="H345" s="138"/>
      <c r="I345" s="138"/>
      <c r="J345" s="138"/>
      <c r="K345" s="138"/>
      <c r="L345" s="138"/>
      <c r="M345" s="138"/>
      <c r="N345" s="138"/>
      <c r="O345" s="138"/>
      <c r="P345" s="138"/>
    </row>
    <row r="346">
      <c r="A346" s="138"/>
      <c r="B346" s="138"/>
      <c r="C346" s="138"/>
      <c r="D346" s="138"/>
      <c r="E346" s="138"/>
      <c r="F346" s="138"/>
      <c r="G346" s="138"/>
      <c r="H346" s="138"/>
      <c r="I346" s="138"/>
      <c r="J346" s="138"/>
      <c r="K346" s="138"/>
      <c r="L346" s="138"/>
      <c r="M346" s="138"/>
      <c r="N346" s="138"/>
      <c r="O346" s="138"/>
      <c r="P346" s="138"/>
    </row>
    <row r="347">
      <c r="A347" s="138"/>
      <c r="B347" s="138"/>
      <c r="C347" s="138"/>
      <c r="D347" s="138"/>
      <c r="E347" s="138"/>
      <c r="F347" s="138"/>
      <c r="G347" s="138"/>
      <c r="H347" s="138"/>
      <c r="I347" s="138"/>
      <c r="J347" s="138"/>
      <c r="K347" s="138"/>
      <c r="L347" s="138"/>
      <c r="M347" s="138"/>
      <c r="N347" s="138"/>
      <c r="O347" s="138"/>
      <c r="P347" s="138"/>
    </row>
    <row r="348">
      <c r="A348" s="138"/>
      <c r="B348" s="138"/>
      <c r="C348" s="138"/>
      <c r="D348" s="138"/>
      <c r="E348" s="138"/>
      <c r="F348" s="138"/>
      <c r="G348" s="138"/>
      <c r="H348" s="138"/>
      <c r="I348" s="138"/>
      <c r="J348" s="138"/>
      <c r="K348" s="138"/>
      <c r="L348" s="138"/>
      <c r="M348" s="138"/>
      <c r="N348" s="138"/>
      <c r="O348" s="138"/>
      <c r="P348" s="138"/>
    </row>
    <row r="349">
      <c r="A349" s="138"/>
      <c r="B349" s="138"/>
      <c r="C349" s="138"/>
      <c r="D349" s="138"/>
      <c r="E349" s="138"/>
      <c r="F349" s="138"/>
      <c r="G349" s="138"/>
      <c r="H349" s="138"/>
      <c r="I349" s="138"/>
      <c r="J349" s="138"/>
      <c r="K349" s="138"/>
      <c r="L349" s="138"/>
      <c r="M349" s="138"/>
      <c r="N349" s="138"/>
      <c r="O349" s="138"/>
      <c r="P349" s="138"/>
    </row>
    <row r="350">
      <c r="A350" s="138"/>
      <c r="B350" s="138"/>
      <c r="C350" s="138"/>
      <c r="D350" s="138"/>
      <c r="E350" s="138"/>
      <c r="F350" s="138"/>
      <c r="G350" s="138"/>
      <c r="H350" s="138"/>
      <c r="I350" s="138"/>
      <c r="J350" s="138"/>
      <c r="K350" s="138"/>
      <c r="L350" s="138"/>
      <c r="M350" s="138"/>
      <c r="N350" s="138"/>
      <c r="O350" s="138"/>
      <c r="P350" s="138"/>
    </row>
    <row r="351">
      <c r="A351" s="138"/>
      <c r="B351" s="138"/>
      <c r="C351" s="138"/>
      <c r="D351" s="138"/>
      <c r="E351" s="138"/>
      <c r="F351" s="138"/>
      <c r="G351" s="138"/>
      <c r="H351" s="138"/>
      <c r="I351" s="138"/>
      <c r="J351" s="138"/>
      <c r="K351" s="138"/>
      <c r="L351" s="138"/>
      <c r="M351" s="138"/>
      <c r="N351" s="138"/>
      <c r="O351" s="138"/>
      <c r="P351" s="138"/>
    </row>
    <row r="352">
      <c r="A352" s="138"/>
      <c r="B352" s="138"/>
      <c r="C352" s="138"/>
      <c r="D352" s="138"/>
      <c r="E352" s="138"/>
      <c r="F352" s="138"/>
      <c r="G352" s="138"/>
      <c r="H352" s="138"/>
      <c r="I352" s="138"/>
      <c r="J352" s="138"/>
      <c r="K352" s="138"/>
      <c r="L352" s="138"/>
      <c r="M352" s="138"/>
      <c r="N352" s="138"/>
      <c r="O352" s="138"/>
      <c r="P352" s="138"/>
    </row>
    <row r="353">
      <c r="A353" s="138"/>
      <c r="B353" s="138"/>
      <c r="C353" s="138"/>
      <c r="D353" s="138"/>
      <c r="E353" s="138"/>
      <c r="F353" s="138"/>
      <c r="G353" s="138"/>
      <c r="H353" s="138"/>
      <c r="I353" s="138"/>
      <c r="J353" s="138"/>
      <c r="K353" s="138"/>
      <c r="L353" s="138"/>
      <c r="M353" s="138"/>
      <c r="N353" s="138"/>
      <c r="O353" s="138"/>
      <c r="P353" s="138"/>
    </row>
    <row r="354">
      <c r="A354" s="138"/>
      <c r="B354" s="138"/>
      <c r="C354" s="138"/>
      <c r="D354" s="138"/>
      <c r="E354" s="138"/>
      <c r="F354" s="138"/>
      <c r="G354" s="138"/>
      <c r="H354" s="138"/>
      <c r="I354" s="138"/>
      <c r="J354" s="138"/>
      <c r="K354" s="138"/>
      <c r="L354" s="138"/>
      <c r="M354" s="138"/>
      <c r="N354" s="138"/>
      <c r="O354" s="138"/>
      <c r="P354" s="138"/>
    </row>
    <row r="355">
      <c r="A355" s="138"/>
      <c r="B355" s="138"/>
      <c r="C355" s="138"/>
      <c r="D355" s="138"/>
      <c r="E355" s="138"/>
      <c r="F355" s="138"/>
      <c r="G355" s="138"/>
      <c r="H355" s="138"/>
      <c r="I355" s="138"/>
      <c r="J355" s="138"/>
      <c r="K355" s="138"/>
      <c r="L355" s="138"/>
      <c r="M355" s="138"/>
      <c r="N355" s="138"/>
      <c r="O355" s="138"/>
      <c r="P355" s="138"/>
    </row>
    <row r="356">
      <c r="A356" s="138"/>
      <c r="B356" s="138"/>
      <c r="C356" s="138"/>
      <c r="D356" s="138"/>
      <c r="E356" s="138"/>
      <c r="F356" s="138"/>
      <c r="G356" s="138"/>
      <c r="H356" s="138"/>
      <c r="I356" s="138"/>
      <c r="J356" s="138"/>
      <c r="K356" s="138"/>
      <c r="L356" s="138"/>
      <c r="M356" s="138"/>
      <c r="N356" s="138"/>
      <c r="O356" s="138"/>
      <c r="P356" s="138"/>
    </row>
    <row r="357">
      <c r="A357" s="138"/>
      <c r="B357" s="138"/>
      <c r="C357" s="138"/>
      <c r="D357" s="138"/>
      <c r="E357" s="138"/>
      <c r="F357" s="138"/>
      <c r="G357" s="138"/>
      <c r="H357" s="138"/>
      <c r="I357" s="138"/>
      <c r="J357" s="138"/>
      <c r="K357" s="138"/>
      <c r="L357" s="138"/>
      <c r="M357" s="138"/>
      <c r="N357" s="138"/>
      <c r="O357" s="138"/>
      <c r="P357" s="138"/>
    </row>
    <row r="358">
      <c r="A358" s="138"/>
      <c r="B358" s="138"/>
      <c r="C358" s="138"/>
      <c r="D358" s="138"/>
      <c r="E358" s="138"/>
      <c r="F358" s="138"/>
      <c r="G358" s="138"/>
      <c r="H358" s="138"/>
      <c r="I358" s="138"/>
      <c r="J358" s="138"/>
      <c r="K358" s="138"/>
      <c r="L358" s="138"/>
      <c r="M358" s="138"/>
      <c r="N358" s="138"/>
      <c r="O358" s="138"/>
      <c r="P358" s="138"/>
    </row>
    <row r="359">
      <c r="A359" s="138"/>
      <c r="B359" s="138"/>
      <c r="C359" s="138"/>
      <c r="D359" s="138"/>
      <c r="E359" s="138"/>
      <c r="F359" s="138"/>
      <c r="G359" s="138"/>
      <c r="H359" s="138"/>
      <c r="I359" s="138"/>
      <c r="J359" s="138"/>
      <c r="K359" s="138"/>
      <c r="L359" s="138"/>
      <c r="M359" s="138"/>
      <c r="N359" s="138"/>
      <c r="O359" s="138"/>
      <c r="P359" s="138"/>
    </row>
    <row r="360">
      <c r="A360" s="138"/>
      <c r="B360" s="138"/>
      <c r="C360" s="138"/>
      <c r="D360" s="138"/>
      <c r="E360" s="138"/>
      <c r="F360" s="138"/>
      <c r="G360" s="138"/>
      <c r="H360" s="138"/>
      <c r="I360" s="138"/>
      <c r="J360" s="138"/>
      <c r="K360" s="138"/>
      <c r="L360" s="138"/>
      <c r="M360" s="138"/>
      <c r="N360" s="138"/>
      <c r="O360" s="138"/>
      <c r="P360" s="138"/>
    </row>
    <row r="361">
      <c r="A361" s="138"/>
      <c r="B361" s="138"/>
      <c r="C361" s="138"/>
      <c r="D361" s="138"/>
      <c r="E361" s="138"/>
      <c r="F361" s="138"/>
      <c r="G361" s="138"/>
      <c r="H361" s="138"/>
      <c r="I361" s="138"/>
      <c r="J361" s="138"/>
      <c r="K361" s="138"/>
      <c r="L361" s="138"/>
      <c r="M361" s="138"/>
      <c r="N361" s="138"/>
      <c r="O361" s="138"/>
      <c r="P361" s="138"/>
    </row>
    <row r="362">
      <c r="A362" s="138"/>
      <c r="B362" s="138"/>
      <c r="C362" s="138"/>
      <c r="D362" s="138"/>
      <c r="E362" s="138"/>
      <c r="F362" s="138"/>
      <c r="G362" s="138"/>
      <c r="H362" s="138"/>
      <c r="I362" s="138"/>
      <c r="J362" s="138"/>
      <c r="K362" s="138"/>
      <c r="L362" s="138"/>
      <c r="M362" s="138"/>
      <c r="N362" s="138"/>
      <c r="O362" s="138"/>
      <c r="P362" s="138"/>
    </row>
    <row r="363">
      <c r="A363" s="138"/>
      <c r="B363" s="138"/>
      <c r="C363" s="138"/>
      <c r="D363" s="138"/>
      <c r="E363" s="138"/>
      <c r="F363" s="138"/>
      <c r="G363" s="138"/>
      <c r="H363" s="138"/>
      <c r="I363" s="138"/>
      <c r="J363" s="138"/>
      <c r="K363" s="138"/>
      <c r="L363" s="138"/>
      <c r="M363" s="138"/>
      <c r="N363" s="138"/>
      <c r="O363" s="138"/>
      <c r="P363" s="138"/>
    </row>
    <row r="364">
      <c r="A364" s="138"/>
      <c r="B364" s="138"/>
      <c r="C364" s="138"/>
      <c r="D364" s="138"/>
      <c r="E364" s="138"/>
      <c r="F364" s="138"/>
      <c r="G364" s="138"/>
      <c r="H364" s="138"/>
      <c r="I364" s="138"/>
      <c r="J364" s="138"/>
      <c r="K364" s="138"/>
      <c r="L364" s="138"/>
      <c r="M364" s="138"/>
      <c r="N364" s="138"/>
      <c r="O364" s="138"/>
      <c r="P364" s="138"/>
    </row>
    <row r="365">
      <c r="A365" s="138"/>
      <c r="B365" s="138"/>
      <c r="C365" s="138"/>
      <c r="D365" s="138"/>
      <c r="E365" s="138"/>
      <c r="F365" s="138"/>
      <c r="G365" s="138"/>
      <c r="H365" s="138"/>
      <c r="I365" s="138"/>
      <c r="J365" s="138"/>
      <c r="K365" s="138"/>
      <c r="L365" s="138"/>
      <c r="M365" s="138"/>
      <c r="N365" s="138"/>
      <c r="O365" s="138"/>
      <c r="P365" s="138"/>
    </row>
    <row r="366">
      <c r="A366" s="138"/>
      <c r="B366" s="138"/>
      <c r="C366" s="138"/>
      <c r="D366" s="138"/>
      <c r="E366" s="138"/>
      <c r="F366" s="138"/>
      <c r="G366" s="138"/>
      <c r="H366" s="138"/>
      <c r="I366" s="138"/>
      <c r="J366" s="138"/>
      <c r="K366" s="138"/>
      <c r="L366" s="138"/>
      <c r="M366" s="138"/>
      <c r="N366" s="138"/>
      <c r="O366" s="138"/>
      <c r="P366" s="138"/>
    </row>
    <row r="367">
      <c r="A367" s="138"/>
      <c r="B367" s="138"/>
      <c r="C367" s="138"/>
      <c r="D367" s="138"/>
      <c r="E367" s="138"/>
      <c r="F367" s="138"/>
      <c r="G367" s="138"/>
      <c r="H367" s="138"/>
      <c r="I367" s="138"/>
      <c r="J367" s="138"/>
      <c r="K367" s="138"/>
      <c r="L367" s="138"/>
      <c r="M367" s="138"/>
      <c r="N367" s="138"/>
      <c r="O367" s="138"/>
      <c r="P367" s="138"/>
    </row>
    <row r="368">
      <c r="A368" s="138"/>
      <c r="B368" s="138"/>
      <c r="C368" s="138"/>
      <c r="D368" s="138"/>
      <c r="E368" s="138"/>
      <c r="F368" s="138"/>
      <c r="G368" s="138"/>
      <c r="H368" s="138"/>
      <c r="I368" s="138"/>
      <c r="J368" s="138"/>
      <c r="K368" s="138"/>
      <c r="L368" s="138"/>
      <c r="M368" s="138"/>
      <c r="N368" s="138"/>
      <c r="O368" s="138"/>
      <c r="P368" s="138"/>
    </row>
    <row r="369">
      <c r="A369" s="138"/>
      <c r="B369" s="138"/>
      <c r="C369" s="138"/>
      <c r="D369" s="138"/>
      <c r="E369" s="138"/>
      <c r="F369" s="138"/>
      <c r="G369" s="138"/>
      <c r="H369" s="138"/>
      <c r="I369" s="138"/>
      <c r="J369" s="138"/>
      <c r="K369" s="138"/>
      <c r="L369" s="138"/>
      <c r="M369" s="138"/>
      <c r="N369" s="138"/>
      <c r="O369" s="138"/>
      <c r="P369" s="138"/>
    </row>
    <row r="370">
      <c r="A370" s="138"/>
      <c r="B370" s="138"/>
      <c r="C370" s="138"/>
      <c r="D370" s="138"/>
      <c r="E370" s="138"/>
      <c r="F370" s="138"/>
      <c r="G370" s="138"/>
      <c r="H370" s="138"/>
      <c r="I370" s="138"/>
      <c r="J370" s="138"/>
      <c r="K370" s="138"/>
      <c r="L370" s="138"/>
      <c r="M370" s="138"/>
      <c r="N370" s="138"/>
      <c r="O370" s="138"/>
      <c r="P370" s="138"/>
    </row>
    <row r="371">
      <c r="A371" s="138"/>
      <c r="B371" s="138"/>
      <c r="C371" s="138"/>
      <c r="D371" s="138"/>
      <c r="E371" s="138"/>
      <c r="F371" s="138"/>
      <c r="G371" s="138"/>
      <c r="H371" s="138"/>
      <c r="I371" s="138"/>
      <c r="J371" s="138"/>
      <c r="K371" s="138"/>
      <c r="L371" s="138"/>
      <c r="M371" s="138"/>
      <c r="N371" s="138"/>
      <c r="O371" s="138"/>
      <c r="P371" s="138"/>
    </row>
    <row r="372">
      <c r="A372" s="138"/>
      <c r="B372" s="138"/>
      <c r="C372" s="138"/>
      <c r="D372" s="138"/>
      <c r="E372" s="138"/>
      <c r="F372" s="138"/>
      <c r="G372" s="138"/>
      <c r="H372" s="138"/>
      <c r="I372" s="138"/>
      <c r="J372" s="138"/>
      <c r="K372" s="138"/>
      <c r="L372" s="138"/>
      <c r="M372" s="138"/>
      <c r="N372" s="138"/>
      <c r="O372" s="138"/>
      <c r="P372" s="138"/>
    </row>
    <row r="373">
      <c r="A373" s="138"/>
      <c r="B373" s="138"/>
      <c r="C373" s="138"/>
      <c r="D373" s="138"/>
      <c r="E373" s="138"/>
      <c r="F373" s="138"/>
      <c r="G373" s="138"/>
      <c r="H373" s="138"/>
      <c r="I373" s="138"/>
      <c r="J373" s="138"/>
      <c r="K373" s="138"/>
      <c r="L373" s="138"/>
      <c r="M373" s="138"/>
      <c r="N373" s="138"/>
      <c r="O373" s="138"/>
      <c r="P373" s="138"/>
    </row>
    <row r="374">
      <c r="A374" s="138"/>
      <c r="B374" s="138"/>
      <c r="C374" s="138"/>
      <c r="D374" s="138"/>
      <c r="E374" s="138"/>
      <c r="F374" s="138"/>
      <c r="G374" s="138"/>
      <c r="H374" s="138"/>
      <c r="I374" s="138"/>
      <c r="J374" s="138"/>
      <c r="K374" s="138"/>
      <c r="L374" s="138"/>
      <c r="M374" s="138"/>
      <c r="N374" s="138"/>
      <c r="O374" s="138"/>
      <c r="P374" s="138"/>
    </row>
    <row r="375">
      <c r="A375" s="138"/>
      <c r="B375" s="138"/>
      <c r="C375" s="138"/>
      <c r="D375" s="138"/>
      <c r="E375" s="138"/>
      <c r="F375" s="138"/>
      <c r="G375" s="138"/>
      <c r="H375" s="138"/>
      <c r="I375" s="138"/>
      <c r="J375" s="138"/>
      <c r="K375" s="138"/>
      <c r="L375" s="138"/>
      <c r="M375" s="138"/>
      <c r="N375" s="138"/>
      <c r="O375" s="138"/>
      <c r="P375" s="138"/>
    </row>
    <row r="376">
      <c r="A376" s="138"/>
      <c r="B376" s="138"/>
      <c r="C376" s="138"/>
      <c r="D376" s="138"/>
      <c r="E376" s="138"/>
      <c r="F376" s="138"/>
      <c r="G376" s="138"/>
      <c r="H376" s="138"/>
      <c r="I376" s="138"/>
      <c r="J376" s="138"/>
      <c r="K376" s="138"/>
      <c r="L376" s="138"/>
      <c r="M376" s="138"/>
      <c r="N376" s="138"/>
      <c r="O376" s="138"/>
      <c r="P376" s="138"/>
    </row>
    <row r="377">
      <c r="A377" s="138"/>
      <c r="B377" s="138"/>
      <c r="C377" s="138"/>
      <c r="D377" s="138"/>
      <c r="E377" s="138"/>
      <c r="F377" s="138"/>
      <c r="G377" s="138"/>
      <c r="H377" s="138"/>
      <c r="I377" s="138"/>
      <c r="J377" s="138"/>
      <c r="K377" s="138"/>
      <c r="L377" s="138"/>
      <c r="M377" s="138"/>
      <c r="N377" s="138"/>
      <c r="O377" s="138"/>
      <c r="P377" s="138"/>
    </row>
    <row r="378">
      <c r="A378" s="138"/>
      <c r="B378" s="138"/>
      <c r="C378" s="138"/>
      <c r="D378" s="138"/>
      <c r="E378" s="138"/>
      <c r="F378" s="138"/>
      <c r="G378" s="138"/>
      <c r="H378" s="138"/>
      <c r="I378" s="138"/>
      <c r="J378" s="138"/>
      <c r="K378" s="138"/>
      <c r="L378" s="138"/>
      <c r="M378" s="138"/>
      <c r="N378" s="138"/>
      <c r="O378" s="138"/>
      <c r="P378" s="138"/>
    </row>
    <row r="379">
      <c r="A379" s="138"/>
      <c r="B379" s="138"/>
      <c r="C379" s="138"/>
      <c r="D379" s="138"/>
      <c r="E379" s="138"/>
      <c r="F379" s="138"/>
      <c r="G379" s="138"/>
      <c r="H379" s="138"/>
      <c r="I379" s="138"/>
      <c r="J379" s="138"/>
      <c r="K379" s="138"/>
      <c r="L379" s="138"/>
      <c r="M379" s="138"/>
      <c r="N379" s="138"/>
      <c r="O379" s="138"/>
      <c r="P379" s="138"/>
    </row>
    <row r="380">
      <c r="A380" s="138"/>
      <c r="B380" s="138"/>
      <c r="C380" s="138"/>
      <c r="D380" s="138"/>
      <c r="E380" s="138"/>
      <c r="F380" s="138"/>
      <c r="G380" s="138"/>
      <c r="H380" s="138"/>
      <c r="I380" s="138"/>
      <c r="J380" s="138"/>
      <c r="K380" s="138"/>
      <c r="L380" s="138"/>
      <c r="M380" s="138"/>
      <c r="N380" s="138"/>
      <c r="O380" s="138"/>
      <c r="P380" s="138"/>
    </row>
    <row r="381">
      <c r="A381" s="138"/>
      <c r="B381" s="138"/>
      <c r="C381" s="138"/>
      <c r="D381" s="138"/>
      <c r="E381" s="138"/>
      <c r="F381" s="138"/>
      <c r="G381" s="138"/>
      <c r="H381" s="138"/>
      <c r="I381" s="138"/>
      <c r="J381" s="138"/>
      <c r="K381" s="138"/>
      <c r="L381" s="138"/>
      <c r="M381" s="138"/>
      <c r="N381" s="138"/>
      <c r="O381" s="138"/>
      <c r="P381" s="138"/>
    </row>
    <row r="382">
      <c r="A382" s="138"/>
      <c r="B382" s="138"/>
      <c r="C382" s="138"/>
      <c r="D382" s="138"/>
      <c r="E382" s="138"/>
      <c r="F382" s="138"/>
      <c r="G382" s="138"/>
      <c r="H382" s="138"/>
      <c r="I382" s="138"/>
      <c r="J382" s="138"/>
      <c r="K382" s="138"/>
      <c r="L382" s="138"/>
      <c r="M382" s="138"/>
      <c r="N382" s="138"/>
      <c r="O382" s="138"/>
      <c r="P382" s="138"/>
    </row>
    <row r="383">
      <c r="A383" s="138"/>
      <c r="B383" s="138"/>
      <c r="C383" s="138"/>
      <c r="D383" s="138"/>
      <c r="E383" s="138"/>
      <c r="F383" s="138"/>
      <c r="G383" s="138"/>
      <c r="H383" s="138"/>
      <c r="I383" s="138"/>
      <c r="J383" s="138"/>
      <c r="K383" s="138"/>
      <c r="L383" s="138"/>
      <c r="M383" s="138"/>
      <c r="N383" s="138"/>
      <c r="O383" s="138"/>
      <c r="P383" s="138"/>
    </row>
    <row r="384">
      <c r="A384" s="138"/>
      <c r="B384" s="138"/>
      <c r="C384" s="138"/>
      <c r="D384" s="138"/>
      <c r="E384" s="138"/>
      <c r="F384" s="138"/>
      <c r="G384" s="138"/>
      <c r="H384" s="138"/>
      <c r="I384" s="138"/>
      <c r="J384" s="138"/>
      <c r="K384" s="138"/>
      <c r="L384" s="138"/>
      <c r="M384" s="138"/>
      <c r="N384" s="138"/>
      <c r="O384" s="138"/>
      <c r="P384" s="138"/>
    </row>
    <row r="385">
      <c r="A385" s="138"/>
      <c r="B385" s="138"/>
      <c r="C385" s="138"/>
      <c r="D385" s="138"/>
      <c r="E385" s="138"/>
      <c r="F385" s="138"/>
      <c r="G385" s="138"/>
      <c r="H385" s="138"/>
      <c r="I385" s="138"/>
      <c r="J385" s="138"/>
      <c r="K385" s="138"/>
      <c r="L385" s="138"/>
      <c r="M385" s="138"/>
      <c r="N385" s="138"/>
      <c r="O385" s="138"/>
      <c r="P385" s="138"/>
    </row>
    <row r="386">
      <c r="A386" s="138"/>
      <c r="B386" s="138"/>
      <c r="C386" s="138"/>
      <c r="D386" s="138"/>
      <c r="E386" s="138"/>
      <c r="F386" s="138"/>
      <c r="G386" s="138"/>
      <c r="H386" s="138"/>
      <c r="I386" s="138"/>
      <c r="J386" s="138"/>
      <c r="K386" s="138"/>
      <c r="L386" s="138"/>
      <c r="M386" s="138"/>
      <c r="N386" s="138"/>
      <c r="O386" s="138"/>
      <c r="P386" s="138"/>
    </row>
    <row r="387">
      <c r="A387" s="138"/>
      <c r="B387" s="138"/>
      <c r="C387" s="138"/>
      <c r="D387" s="138"/>
      <c r="E387" s="138"/>
      <c r="F387" s="138"/>
      <c r="G387" s="138"/>
      <c r="H387" s="138"/>
      <c r="I387" s="138"/>
      <c r="J387" s="138"/>
      <c r="K387" s="138"/>
      <c r="L387" s="138"/>
      <c r="M387" s="138"/>
      <c r="N387" s="138"/>
      <c r="O387" s="138"/>
      <c r="P387" s="138"/>
    </row>
    <row r="388">
      <c r="A388" s="138"/>
      <c r="B388" s="138"/>
      <c r="C388" s="138"/>
      <c r="D388" s="138"/>
      <c r="E388" s="138"/>
      <c r="F388" s="138"/>
      <c r="G388" s="138"/>
      <c r="H388" s="138"/>
      <c r="I388" s="138"/>
      <c r="J388" s="138"/>
      <c r="K388" s="138"/>
      <c r="L388" s="138"/>
      <c r="M388" s="138"/>
      <c r="N388" s="138"/>
      <c r="O388" s="138"/>
      <c r="P388" s="138"/>
    </row>
    <row r="389">
      <c r="A389" s="138"/>
      <c r="B389" s="138"/>
      <c r="C389" s="138"/>
      <c r="D389" s="138"/>
      <c r="E389" s="138"/>
      <c r="F389" s="138"/>
      <c r="G389" s="138"/>
      <c r="H389" s="138"/>
      <c r="I389" s="138"/>
      <c r="J389" s="138"/>
      <c r="K389" s="138"/>
      <c r="L389" s="138"/>
      <c r="M389" s="138"/>
      <c r="N389" s="138"/>
      <c r="O389" s="138"/>
      <c r="P389" s="138"/>
    </row>
    <row r="390">
      <c r="A390" s="138"/>
      <c r="B390" s="138"/>
      <c r="C390" s="138"/>
      <c r="D390" s="138"/>
      <c r="E390" s="138"/>
      <c r="F390" s="138"/>
      <c r="G390" s="138"/>
      <c r="H390" s="138"/>
      <c r="I390" s="138"/>
      <c r="J390" s="138"/>
      <c r="K390" s="138"/>
      <c r="L390" s="138"/>
      <c r="M390" s="138"/>
      <c r="N390" s="138"/>
      <c r="O390" s="138"/>
      <c r="P390" s="138"/>
    </row>
    <row r="391">
      <c r="A391" s="138"/>
      <c r="B391" s="138"/>
      <c r="C391" s="138"/>
      <c r="D391" s="138"/>
      <c r="E391" s="138"/>
      <c r="F391" s="138"/>
      <c r="G391" s="138"/>
      <c r="H391" s="138"/>
      <c r="I391" s="138"/>
      <c r="J391" s="138"/>
      <c r="K391" s="138"/>
      <c r="L391" s="138"/>
      <c r="M391" s="138"/>
      <c r="N391" s="138"/>
      <c r="O391" s="138"/>
      <c r="P391" s="138"/>
    </row>
    <row r="392">
      <c r="A392" s="138"/>
      <c r="B392" s="138"/>
      <c r="C392" s="138"/>
      <c r="D392" s="138"/>
      <c r="E392" s="138"/>
      <c r="F392" s="138"/>
      <c r="G392" s="138"/>
      <c r="H392" s="138"/>
      <c r="I392" s="138"/>
      <c r="J392" s="138"/>
      <c r="K392" s="138"/>
      <c r="L392" s="138"/>
      <c r="M392" s="138"/>
      <c r="N392" s="138"/>
      <c r="O392" s="138"/>
      <c r="P392" s="138"/>
    </row>
    <row r="393">
      <c r="A393" s="138"/>
      <c r="B393" s="138"/>
      <c r="C393" s="138"/>
      <c r="D393" s="138"/>
      <c r="E393" s="138"/>
      <c r="F393" s="138"/>
      <c r="G393" s="138"/>
      <c r="H393" s="138"/>
      <c r="I393" s="138"/>
      <c r="J393" s="138"/>
      <c r="K393" s="138"/>
      <c r="L393" s="138"/>
      <c r="M393" s="138"/>
      <c r="N393" s="138"/>
      <c r="O393" s="138"/>
      <c r="P393" s="138"/>
    </row>
    <row r="394">
      <c r="A394" s="138"/>
      <c r="B394" s="138"/>
      <c r="C394" s="138"/>
      <c r="D394" s="138"/>
      <c r="E394" s="138"/>
      <c r="F394" s="138"/>
      <c r="G394" s="138"/>
      <c r="H394" s="138"/>
      <c r="I394" s="138"/>
      <c r="J394" s="138"/>
      <c r="K394" s="138"/>
      <c r="L394" s="138"/>
      <c r="M394" s="138"/>
      <c r="N394" s="138"/>
      <c r="O394" s="138"/>
      <c r="P394" s="138"/>
    </row>
    <row r="395">
      <c r="A395" s="138"/>
      <c r="B395" s="138"/>
      <c r="C395" s="138"/>
      <c r="D395" s="138"/>
      <c r="E395" s="138"/>
      <c r="F395" s="138"/>
      <c r="G395" s="138"/>
      <c r="H395" s="138"/>
      <c r="I395" s="138"/>
      <c r="J395" s="138"/>
      <c r="K395" s="138"/>
      <c r="L395" s="138"/>
      <c r="M395" s="138"/>
      <c r="N395" s="138"/>
      <c r="O395" s="138"/>
      <c r="P395" s="138"/>
    </row>
    <row r="396">
      <c r="A396" s="138"/>
      <c r="B396" s="138"/>
      <c r="C396" s="138"/>
      <c r="D396" s="138"/>
      <c r="E396" s="138"/>
      <c r="F396" s="138"/>
      <c r="G396" s="138"/>
      <c r="H396" s="138"/>
      <c r="I396" s="138"/>
      <c r="J396" s="138"/>
      <c r="K396" s="138"/>
      <c r="L396" s="138"/>
      <c r="M396" s="138"/>
      <c r="N396" s="138"/>
      <c r="O396" s="138"/>
      <c r="P396" s="138"/>
    </row>
    <row r="397">
      <c r="A397" s="138"/>
      <c r="B397" s="138"/>
      <c r="C397" s="138"/>
      <c r="D397" s="138"/>
      <c r="E397" s="138"/>
      <c r="F397" s="138"/>
      <c r="G397" s="138"/>
      <c r="H397" s="138"/>
      <c r="I397" s="138"/>
      <c r="J397" s="138"/>
      <c r="K397" s="138"/>
      <c r="L397" s="138"/>
      <c r="M397" s="138"/>
      <c r="N397" s="138"/>
      <c r="O397" s="138"/>
      <c r="P397" s="138"/>
    </row>
    <row r="398">
      <c r="A398" s="138"/>
      <c r="B398" s="138"/>
      <c r="C398" s="138"/>
      <c r="D398" s="138"/>
      <c r="E398" s="138"/>
      <c r="F398" s="138"/>
      <c r="G398" s="138"/>
      <c r="H398" s="138"/>
      <c r="I398" s="138"/>
      <c r="J398" s="138"/>
      <c r="K398" s="138"/>
      <c r="L398" s="138"/>
      <c r="M398" s="138"/>
      <c r="N398" s="138"/>
      <c r="O398" s="138"/>
      <c r="P398" s="138"/>
    </row>
    <row r="399">
      <c r="A399" s="138"/>
      <c r="B399" s="138"/>
      <c r="C399" s="138"/>
      <c r="D399" s="138"/>
      <c r="E399" s="138"/>
      <c r="F399" s="138"/>
      <c r="G399" s="138"/>
      <c r="H399" s="138"/>
      <c r="I399" s="138"/>
      <c r="J399" s="138"/>
      <c r="K399" s="138"/>
      <c r="L399" s="138"/>
      <c r="M399" s="138"/>
      <c r="N399" s="138"/>
      <c r="O399" s="138"/>
      <c r="P399" s="138"/>
    </row>
    <row r="400">
      <c r="A400" s="138"/>
      <c r="B400" s="138"/>
      <c r="C400" s="138"/>
      <c r="D400" s="138"/>
      <c r="E400" s="138"/>
      <c r="F400" s="138"/>
      <c r="G400" s="138"/>
      <c r="H400" s="138"/>
      <c r="I400" s="138"/>
      <c r="J400" s="138"/>
      <c r="K400" s="138"/>
      <c r="L400" s="138"/>
      <c r="M400" s="138"/>
      <c r="N400" s="138"/>
      <c r="O400" s="138"/>
      <c r="P400" s="138"/>
    </row>
    <row r="401">
      <c r="A401" s="138"/>
      <c r="B401" s="138"/>
      <c r="C401" s="138"/>
      <c r="D401" s="138"/>
      <c r="E401" s="138"/>
      <c r="F401" s="138"/>
      <c r="G401" s="138"/>
      <c r="H401" s="138"/>
      <c r="I401" s="138"/>
      <c r="J401" s="138"/>
      <c r="K401" s="138"/>
      <c r="L401" s="138"/>
      <c r="M401" s="138"/>
      <c r="N401" s="138"/>
      <c r="O401" s="138"/>
      <c r="P401" s="138"/>
    </row>
    <row r="402">
      <c r="A402" s="138"/>
      <c r="B402" s="138"/>
      <c r="C402" s="138"/>
      <c r="D402" s="138"/>
      <c r="E402" s="138"/>
      <c r="F402" s="138"/>
      <c r="G402" s="138"/>
      <c r="H402" s="138"/>
      <c r="I402" s="138"/>
      <c r="J402" s="138"/>
      <c r="K402" s="138"/>
      <c r="L402" s="138"/>
      <c r="M402" s="138"/>
      <c r="N402" s="138"/>
      <c r="O402" s="138"/>
      <c r="P402" s="138"/>
    </row>
    <row r="403">
      <c r="A403" s="138"/>
      <c r="B403" s="138"/>
      <c r="C403" s="138"/>
      <c r="D403" s="138"/>
      <c r="E403" s="138"/>
      <c r="F403" s="138"/>
      <c r="G403" s="138"/>
      <c r="H403" s="138"/>
      <c r="I403" s="138"/>
      <c r="J403" s="138"/>
      <c r="K403" s="138"/>
      <c r="L403" s="138"/>
      <c r="M403" s="138"/>
      <c r="N403" s="138"/>
      <c r="O403" s="138"/>
      <c r="P403" s="138"/>
    </row>
    <row r="404">
      <c r="A404" s="138"/>
      <c r="B404" s="138"/>
      <c r="C404" s="138"/>
      <c r="D404" s="138"/>
      <c r="E404" s="138"/>
      <c r="F404" s="138"/>
      <c r="G404" s="138"/>
      <c r="H404" s="138"/>
      <c r="I404" s="138"/>
      <c r="J404" s="138"/>
      <c r="K404" s="138"/>
      <c r="L404" s="138"/>
      <c r="M404" s="138"/>
      <c r="N404" s="138"/>
      <c r="O404" s="138"/>
      <c r="P404" s="138"/>
    </row>
    <row r="405">
      <c r="A405" s="138"/>
      <c r="B405" s="138"/>
      <c r="C405" s="138"/>
      <c r="D405" s="138"/>
      <c r="E405" s="138"/>
      <c r="F405" s="138"/>
      <c r="G405" s="138"/>
      <c r="H405" s="138"/>
      <c r="I405" s="138"/>
      <c r="J405" s="138"/>
      <c r="K405" s="138"/>
      <c r="L405" s="138"/>
      <c r="M405" s="138"/>
      <c r="N405" s="138"/>
      <c r="O405" s="138"/>
      <c r="P405" s="138"/>
    </row>
    <row r="406">
      <c r="A406" s="138"/>
      <c r="B406" s="138"/>
      <c r="C406" s="138"/>
      <c r="D406" s="138"/>
      <c r="E406" s="138"/>
      <c r="F406" s="138"/>
      <c r="G406" s="138"/>
      <c r="H406" s="138"/>
      <c r="I406" s="138"/>
      <c r="J406" s="138"/>
      <c r="K406" s="138"/>
      <c r="L406" s="138"/>
      <c r="M406" s="138"/>
      <c r="N406" s="138"/>
      <c r="O406" s="138"/>
      <c r="P406" s="138"/>
    </row>
    <row r="407">
      <c r="A407" s="138"/>
      <c r="B407" s="138"/>
      <c r="C407" s="138"/>
      <c r="D407" s="138"/>
      <c r="E407" s="138"/>
      <c r="F407" s="138"/>
      <c r="G407" s="138"/>
      <c r="H407" s="138"/>
      <c r="I407" s="138"/>
      <c r="J407" s="138"/>
      <c r="K407" s="138"/>
      <c r="L407" s="138"/>
      <c r="M407" s="138"/>
      <c r="N407" s="138"/>
      <c r="O407" s="138"/>
      <c r="P407" s="138"/>
    </row>
    <row r="408">
      <c r="A408" s="138"/>
      <c r="B408" s="138"/>
      <c r="C408" s="138"/>
      <c r="D408" s="138"/>
      <c r="E408" s="138"/>
      <c r="F408" s="138"/>
      <c r="G408" s="138"/>
      <c r="H408" s="138"/>
      <c r="I408" s="138"/>
      <c r="J408" s="138"/>
      <c r="K408" s="138"/>
      <c r="L408" s="138"/>
      <c r="M408" s="138"/>
      <c r="N408" s="138"/>
      <c r="O408" s="138"/>
      <c r="P408" s="138"/>
    </row>
    <row r="409">
      <c r="A409" s="138"/>
      <c r="B409" s="138"/>
      <c r="C409" s="138"/>
      <c r="D409" s="138"/>
      <c r="E409" s="138"/>
      <c r="F409" s="138"/>
      <c r="G409" s="138"/>
      <c r="H409" s="138"/>
      <c r="I409" s="138"/>
      <c r="J409" s="138"/>
      <c r="K409" s="138"/>
      <c r="L409" s="138"/>
      <c r="M409" s="138"/>
      <c r="N409" s="138"/>
      <c r="O409" s="138"/>
      <c r="P409" s="138"/>
    </row>
    <row r="410">
      <c r="A410" s="138"/>
      <c r="B410" s="138"/>
      <c r="C410" s="138"/>
      <c r="D410" s="138"/>
      <c r="E410" s="138"/>
      <c r="F410" s="138"/>
      <c r="G410" s="138"/>
      <c r="H410" s="138"/>
      <c r="I410" s="138"/>
      <c r="J410" s="138"/>
      <c r="K410" s="138"/>
      <c r="L410" s="138"/>
      <c r="M410" s="138"/>
      <c r="N410" s="138"/>
      <c r="O410" s="138"/>
      <c r="P410" s="138"/>
    </row>
    <row r="411">
      <c r="A411" s="138"/>
      <c r="B411" s="138"/>
      <c r="C411" s="138"/>
      <c r="D411" s="138"/>
      <c r="E411" s="138"/>
      <c r="F411" s="138"/>
      <c r="G411" s="138"/>
      <c r="H411" s="138"/>
      <c r="I411" s="138"/>
      <c r="J411" s="138"/>
      <c r="K411" s="138"/>
      <c r="L411" s="138"/>
      <c r="M411" s="138"/>
      <c r="N411" s="138"/>
      <c r="O411" s="138"/>
      <c r="P411" s="138"/>
    </row>
    <row r="412">
      <c r="A412" s="138"/>
      <c r="B412" s="138"/>
      <c r="C412" s="138"/>
      <c r="D412" s="138"/>
      <c r="E412" s="138"/>
      <c r="F412" s="138"/>
      <c r="G412" s="138"/>
      <c r="H412" s="138"/>
      <c r="I412" s="138"/>
      <c r="J412" s="138"/>
      <c r="K412" s="138"/>
      <c r="L412" s="138"/>
      <c r="M412" s="138"/>
      <c r="N412" s="138"/>
      <c r="O412" s="138"/>
      <c r="P412" s="138"/>
    </row>
    <row r="413">
      <c r="A413" s="138"/>
      <c r="B413" s="138"/>
      <c r="C413" s="138"/>
      <c r="D413" s="138"/>
      <c r="E413" s="138"/>
      <c r="F413" s="138"/>
      <c r="G413" s="138"/>
      <c r="H413" s="138"/>
      <c r="I413" s="138"/>
      <c r="J413" s="138"/>
      <c r="K413" s="138"/>
      <c r="L413" s="138"/>
      <c r="M413" s="138"/>
      <c r="N413" s="138"/>
      <c r="O413" s="138"/>
      <c r="P413" s="138"/>
    </row>
    <row r="414">
      <c r="A414" s="138"/>
      <c r="B414" s="138"/>
      <c r="C414" s="138"/>
      <c r="D414" s="138"/>
      <c r="E414" s="138"/>
      <c r="F414" s="138"/>
      <c r="G414" s="138"/>
      <c r="H414" s="138"/>
      <c r="I414" s="138"/>
      <c r="J414" s="138"/>
      <c r="K414" s="138"/>
      <c r="L414" s="138"/>
      <c r="M414" s="138"/>
      <c r="N414" s="138"/>
      <c r="O414" s="138"/>
      <c r="P414" s="138"/>
    </row>
    <row r="415">
      <c r="A415" s="138"/>
      <c r="B415" s="138"/>
      <c r="C415" s="138"/>
      <c r="D415" s="138"/>
      <c r="E415" s="138"/>
      <c r="F415" s="138"/>
      <c r="G415" s="138"/>
      <c r="H415" s="138"/>
      <c r="I415" s="138"/>
      <c r="J415" s="138"/>
      <c r="K415" s="138"/>
      <c r="L415" s="138"/>
      <c r="M415" s="138"/>
      <c r="N415" s="138"/>
      <c r="O415" s="138"/>
      <c r="P415" s="138"/>
    </row>
    <row r="416">
      <c r="A416" s="138"/>
      <c r="B416" s="138"/>
      <c r="C416" s="138"/>
      <c r="D416" s="138"/>
      <c r="E416" s="138"/>
      <c r="F416" s="138"/>
      <c r="G416" s="138"/>
      <c r="H416" s="138"/>
      <c r="I416" s="138"/>
      <c r="J416" s="138"/>
      <c r="K416" s="138"/>
      <c r="L416" s="138"/>
      <c r="M416" s="138"/>
      <c r="N416" s="138"/>
      <c r="O416" s="138"/>
      <c r="P416" s="138"/>
    </row>
    <row r="417">
      <c r="A417" s="138"/>
      <c r="B417" s="138"/>
      <c r="C417" s="138"/>
      <c r="D417" s="138"/>
      <c r="E417" s="138"/>
      <c r="F417" s="138"/>
      <c r="G417" s="138"/>
      <c r="H417" s="138"/>
      <c r="I417" s="138"/>
      <c r="J417" s="138"/>
      <c r="K417" s="138"/>
      <c r="L417" s="138"/>
      <c r="M417" s="138"/>
      <c r="N417" s="138"/>
      <c r="O417" s="138"/>
      <c r="P417" s="138"/>
    </row>
    <row r="418">
      <c r="A418" s="138"/>
      <c r="B418" s="138"/>
      <c r="C418" s="138"/>
      <c r="D418" s="138"/>
      <c r="E418" s="138"/>
      <c r="F418" s="138"/>
      <c r="G418" s="138"/>
      <c r="H418" s="138"/>
      <c r="I418" s="138"/>
      <c r="J418" s="138"/>
      <c r="K418" s="138"/>
      <c r="L418" s="138"/>
      <c r="M418" s="138"/>
      <c r="N418" s="138"/>
      <c r="O418" s="138"/>
      <c r="P418" s="138"/>
    </row>
    <row r="419">
      <c r="A419" s="138"/>
      <c r="B419" s="138"/>
      <c r="C419" s="138"/>
      <c r="D419" s="138"/>
      <c r="E419" s="138"/>
      <c r="F419" s="138"/>
      <c r="G419" s="138"/>
      <c r="H419" s="138"/>
      <c r="I419" s="138"/>
      <c r="J419" s="138"/>
      <c r="K419" s="138"/>
      <c r="L419" s="138"/>
      <c r="M419" s="138"/>
      <c r="N419" s="138"/>
      <c r="O419" s="138"/>
      <c r="P419" s="138"/>
    </row>
    <row r="420">
      <c r="A420" s="138"/>
      <c r="B420" s="138"/>
      <c r="C420" s="138"/>
      <c r="D420" s="138"/>
      <c r="E420" s="138"/>
      <c r="F420" s="138"/>
      <c r="G420" s="138"/>
      <c r="H420" s="138"/>
      <c r="I420" s="138"/>
      <c r="J420" s="138"/>
      <c r="K420" s="138"/>
      <c r="L420" s="138"/>
      <c r="M420" s="138"/>
      <c r="N420" s="138"/>
      <c r="O420" s="138"/>
      <c r="P420" s="138"/>
    </row>
    <row r="421">
      <c r="A421" s="138"/>
      <c r="B421" s="138"/>
      <c r="C421" s="138"/>
      <c r="D421" s="138"/>
      <c r="E421" s="138"/>
      <c r="F421" s="138"/>
      <c r="G421" s="138"/>
      <c r="H421" s="138"/>
      <c r="I421" s="138"/>
      <c r="J421" s="138"/>
      <c r="K421" s="138"/>
      <c r="L421" s="138"/>
      <c r="M421" s="138"/>
      <c r="N421" s="138"/>
      <c r="O421" s="138"/>
      <c r="P421" s="138"/>
    </row>
    <row r="422">
      <c r="A422" s="138"/>
      <c r="B422" s="138"/>
      <c r="C422" s="138"/>
      <c r="D422" s="138"/>
      <c r="E422" s="138"/>
      <c r="F422" s="138"/>
      <c r="G422" s="138"/>
      <c r="H422" s="138"/>
      <c r="I422" s="138"/>
      <c r="J422" s="138"/>
      <c r="K422" s="138"/>
      <c r="L422" s="138"/>
      <c r="M422" s="138"/>
      <c r="N422" s="138"/>
      <c r="O422" s="138"/>
      <c r="P422" s="138"/>
    </row>
    <row r="423">
      <c r="A423" s="138"/>
      <c r="B423" s="138"/>
      <c r="C423" s="138"/>
      <c r="D423" s="138"/>
      <c r="E423" s="138"/>
      <c r="F423" s="138"/>
      <c r="G423" s="138"/>
      <c r="H423" s="138"/>
      <c r="I423" s="138"/>
      <c r="J423" s="138"/>
      <c r="K423" s="138"/>
      <c r="L423" s="138"/>
      <c r="M423" s="138"/>
      <c r="N423" s="138"/>
      <c r="O423" s="138"/>
      <c r="P423" s="138"/>
    </row>
    <row r="424">
      <c r="A424" s="138"/>
      <c r="B424" s="138"/>
      <c r="C424" s="138"/>
      <c r="D424" s="138"/>
      <c r="E424" s="138"/>
      <c r="F424" s="138"/>
      <c r="G424" s="138"/>
      <c r="H424" s="138"/>
      <c r="I424" s="138"/>
      <c r="J424" s="138"/>
      <c r="K424" s="138"/>
      <c r="L424" s="138"/>
      <c r="M424" s="138"/>
      <c r="N424" s="138"/>
      <c r="O424" s="138"/>
      <c r="P424" s="138"/>
    </row>
    <row r="425">
      <c r="A425" s="138"/>
      <c r="B425" s="138"/>
      <c r="C425" s="138"/>
      <c r="D425" s="138"/>
      <c r="E425" s="138"/>
      <c r="F425" s="138"/>
      <c r="G425" s="138"/>
      <c r="H425" s="138"/>
      <c r="I425" s="138"/>
      <c r="J425" s="138"/>
      <c r="K425" s="138"/>
      <c r="L425" s="138"/>
      <c r="M425" s="138"/>
      <c r="N425" s="138"/>
      <c r="O425" s="138"/>
      <c r="P425" s="138"/>
    </row>
    <row r="426">
      <c r="A426" s="138"/>
      <c r="B426" s="138"/>
      <c r="C426" s="138"/>
      <c r="D426" s="138"/>
      <c r="E426" s="138"/>
      <c r="F426" s="138"/>
      <c r="G426" s="138"/>
      <c r="H426" s="138"/>
      <c r="I426" s="138"/>
      <c r="J426" s="138"/>
      <c r="K426" s="138"/>
      <c r="L426" s="138"/>
      <c r="M426" s="138"/>
      <c r="N426" s="138"/>
      <c r="O426" s="138"/>
      <c r="P426" s="138"/>
    </row>
    <row r="427">
      <c r="A427" s="138"/>
      <c r="B427" s="138"/>
      <c r="C427" s="138"/>
      <c r="D427" s="138"/>
      <c r="E427" s="138"/>
      <c r="F427" s="138"/>
      <c r="G427" s="138"/>
      <c r="H427" s="138"/>
      <c r="I427" s="138"/>
      <c r="J427" s="138"/>
      <c r="K427" s="138"/>
      <c r="L427" s="138"/>
      <c r="M427" s="138"/>
      <c r="N427" s="138"/>
      <c r="O427" s="138"/>
      <c r="P427" s="138"/>
    </row>
    <row r="428">
      <c r="A428" s="138"/>
      <c r="B428" s="138"/>
      <c r="C428" s="138"/>
      <c r="D428" s="138"/>
      <c r="E428" s="138"/>
      <c r="F428" s="138"/>
      <c r="G428" s="138"/>
      <c r="H428" s="138"/>
      <c r="I428" s="138"/>
      <c r="J428" s="138"/>
      <c r="K428" s="138"/>
      <c r="L428" s="138"/>
      <c r="M428" s="138"/>
      <c r="N428" s="138"/>
      <c r="O428" s="138"/>
      <c r="P428" s="138"/>
    </row>
    <row r="429">
      <c r="A429" s="138"/>
      <c r="B429" s="138"/>
      <c r="C429" s="138"/>
      <c r="D429" s="138"/>
      <c r="E429" s="138"/>
      <c r="F429" s="138"/>
      <c r="G429" s="138"/>
      <c r="H429" s="138"/>
      <c r="I429" s="138"/>
      <c r="J429" s="138"/>
      <c r="K429" s="138"/>
      <c r="L429" s="138"/>
      <c r="M429" s="138"/>
      <c r="N429" s="138"/>
      <c r="O429" s="138"/>
      <c r="P429" s="138"/>
    </row>
    <row r="430">
      <c r="A430" s="138"/>
      <c r="B430" s="138"/>
      <c r="C430" s="138"/>
      <c r="D430" s="138"/>
      <c r="E430" s="138"/>
      <c r="F430" s="138"/>
      <c r="G430" s="138"/>
      <c r="H430" s="138"/>
      <c r="I430" s="138"/>
      <c r="J430" s="138"/>
      <c r="K430" s="138"/>
      <c r="L430" s="138"/>
      <c r="M430" s="138"/>
      <c r="N430" s="138"/>
      <c r="O430" s="138"/>
      <c r="P430" s="138"/>
    </row>
    <row r="431">
      <c r="A431" s="138"/>
      <c r="B431" s="138"/>
      <c r="C431" s="138"/>
      <c r="D431" s="138"/>
      <c r="E431" s="138"/>
      <c r="F431" s="138"/>
      <c r="G431" s="138"/>
      <c r="H431" s="138"/>
      <c r="I431" s="138"/>
      <c r="J431" s="138"/>
      <c r="K431" s="138"/>
      <c r="L431" s="138"/>
      <c r="M431" s="138"/>
      <c r="N431" s="138"/>
      <c r="O431" s="138"/>
      <c r="P431" s="138"/>
    </row>
    <row r="432">
      <c r="A432" s="138"/>
      <c r="B432" s="138"/>
      <c r="C432" s="138"/>
      <c r="D432" s="138"/>
      <c r="E432" s="138"/>
      <c r="F432" s="138"/>
      <c r="G432" s="138"/>
      <c r="H432" s="138"/>
      <c r="I432" s="138"/>
      <c r="J432" s="138"/>
      <c r="K432" s="138"/>
      <c r="L432" s="138"/>
      <c r="M432" s="138"/>
      <c r="N432" s="138"/>
      <c r="O432" s="138"/>
      <c r="P432" s="138"/>
    </row>
    <row r="433">
      <c r="A433" s="138"/>
      <c r="B433" s="138"/>
      <c r="C433" s="138"/>
      <c r="D433" s="138"/>
      <c r="E433" s="138"/>
      <c r="F433" s="138"/>
      <c r="G433" s="138"/>
      <c r="H433" s="138"/>
      <c r="I433" s="138"/>
      <c r="J433" s="138"/>
      <c r="K433" s="138"/>
      <c r="L433" s="138"/>
      <c r="M433" s="138"/>
      <c r="N433" s="138"/>
      <c r="O433" s="138"/>
      <c r="P433" s="138"/>
    </row>
    <row r="434">
      <c r="A434" s="138"/>
      <c r="B434" s="138"/>
      <c r="C434" s="138"/>
      <c r="D434" s="138"/>
      <c r="E434" s="138"/>
      <c r="F434" s="138"/>
      <c r="G434" s="138"/>
      <c r="H434" s="138"/>
      <c r="I434" s="138"/>
      <c r="J434" s="138"/>
      <c r="K434" s="138"/>
      <c r="L434" s="138"/>
      <c r="M434" s="138"/>
      <c r="N434" s="138"/>
      <c r="O434" s="138"/>
      <c r="P434" s="138"/>
    </row>
    <row r="435">
      <c r="A435" s="138"/>
      <c r="B435" s="138"/>
      <c r="C435" s="138"/>
      <c r="D435" s="138"/>
      <c r="E435" s="138"/>
      <c r="F435" s="138"/>
      <c r="G435" s="138"/>
      <c r="H435" s="138"/>
      <c r="I435" s="138"/>
      <c r="J435" s="138"/>
      <c r="K435" s="138"/>
      <c r="L435" s="138"/>
      <c r="M435" s="138"/>
      <c r="N435" s="138"/>
      <c r="O435" s="138"/>
      <c r="P435" s="138"/>
    </row>
    <row r="436">
      <c r="A436" s="138"/>
      <c r="B436" s="138"/>
      <c r="C436" s="138"/>
      <c r="D436" s="138"/>
      <c r="E436" s="138"/>
      <c r="F436" s="138"/>
      <c r="G436" s="138"/>
      <c r="H436" s="138"/>
      <c r="I436" s="138"/>
      <c r="J436" s="138"/>
      <c r="K436" s="138"/>
      <c r="L436" s="138"/>
      <c r="M436" s="138"/>
      <c r="N436" s="138"/>
      <c r="O436" s="138"/>
      <c r="P436" s="138"/>
    </row>
    <row r="437">
      <c r="A437" s="138"/>
      <c r="B437" s="138"/>
      <c r="C437" s="138"/>
      <c r="D437" s="138"/>
      <c r="E437" s="138"/>
      <c r="F437" s="138"/>
      <c r="G437" s="138"/>
      <c r="H437" s="138"/>
      <c r="I437" s="138"/>
      <c r="J437" s="138"/>
      <c r="K437" s="138"/>
      <c r="L437" s="138"/>
      <c r="M437" s="138"/>
      <c r="N437" s="138"/>
      <c r="O437" s="138"/>
      <c r="P437" s="138"/>
    </row>
    <row r="438">
      <c r="A438" s="138"/>
      <c r="B438" s="138"/>
      <c r="C438" s="138"/>
      <c r="D438" s="138"/>
      <c r="E438" s="138"/>
      <c r="F438" s="138"/>
      <c r="G438" s="138"/>
      <c r="H438" s="138"/>
      <c r="I438" s="138"/>
      <c r="J438" s="138"/>
      <c r="K438" s="138"/>
      <c r="L438" s="138"/>
      <c r="M438" s="138"/>
      <c r="N438" s="138"/>
      <c r="O438" s="138"/>
      <c r="P438" s="138"/>
    </row>
    <row r="439">
      <c r="A439" s="138"/>
      <c r="B439" s="138"/>
      <c r="C439" s="138"/>
      <c r="D439" s="138"/>
      <c r="E439" s="138"/>
      <c r="F439" s="138"/>
      <c r="G439" s="138"/>
      <c r="H439" s="138"/>
      <c r="I439" s="138"/>
      <c r="J439" s="138"/>
      <c r="K439" s="138"/>
      <c r="L439" s="138"/>
      <c r="M439" s="138"/>
      <c r="N439" s="138"/>
      <c r="O439" s="138"/>
      <c r="P439" s="138"/>
    </row>
    <row r="440">
      <c r="A440" s="138"/>
      <c r="B440" s="138"/>
      <c r="C440" s="138"/>
      <c r="D440" s="138"/>
      <c r="E440" s="138"/>
      <c r="F440" s="138"/>
      <c r="G440" s="138"/>
      <c r="H440" s="138"/>
      <c r="I440" s="138"/>
      <c r="J440" s="138"/>
      <c r="K440" s="138"/>
      <c r="L440" s="138"/>
      <c r="M440" s="138"/>
      <c r="N440" s="138"/>
      <c r="O440" s="138"/>
      <c r="P440" s="138"/>
    </row>
    <row r="441">
      <c r="A441" s="138"/>
      <c r="B441" s="138"/>
      <c r="C441" s="138"/>
      <c r="D441" s="138"/>
      <c r="E441" s="138"/>
      <c r="F441" s="138"/>
      <c r="G441" s="138"/>
      <c r="H441" s="138"/>
      <c r="I441" s="138"/>
      <c r="J441" s="138"/>
      <c r="K441" s="138"/>
      <c r="L441" s="138"/>
      <c r="M441" s="138"/>
      <c r="N441" s="138"/>
      <c r="O441" s="138"/>
      <c r="P441" s="138"/>
    </row>
    <row r="442">
      <c r="A442" s="138"/>
      <c r="B442" s="138"/>
      <c r="C442" s="138"/>
      <c r="D442" s="138"/>
      <c r="E442" s="138"/>
      <c r="F442" s="138"/>
      <c r="G442" s="138"/>
      <c r="H442" s="138"/>
      <c r="I442" s="138"/>
      <c r="J442" s="138"/>
      <c r="K442" s="138"/>
      <c r="L442" s="138"/>
      <c r="M442" s="138"/>
      <c r="N442" s="138"/>
      <c r="O442" s="138"/>
      <c r="P442" s="138"/>
    </row>
    <row r="443">
      <c r="A443" s="138"/>
      <c r="B443" s="138"/>
      <c r="C443" s="138"/>
      <c r="D443" s="138"/>
      <c r="E443" s="138"/>
      <c r="F443" s="138"/>
      <c r="G443" s="138"/>
      <c r="H443" s="138"/>
      <c r="I443" s="138"/>
      <c r="J443" s="138"/>
      <c r="K443" s="138"/>
      <c r="L443" s="138"/>
      <c r="M443" s="138"/>
      <c r="N443" s="138"/>
      <c r="O443" s="138"/>
      <c r="P443" s="138"/>
    </row>
    <row r="444">
      <c r="A444" s="138"/>
      <c r="B444" s="138"/>
      <c r="C444" s="138"/>
      <c r="D444" s="138"/>
      <c r="E444" s="138"/>
      <c r="F444" s="138"/>
      <c r="G444" s="138"/>
      <c r="H444" s="138"/>
      <c r="I444" s="138"/>
      <c r="J444" s="138"/>
      <c r="K444" s="138"/>
      <c r="L444" s="138"/>
      <c r="M444" s="138"/>
      <c r="N444" s="138"/>
      <c r="O444" s="138"/>
      <c r="P444" s="138"/>
    </row>
    <row r="445">
      <c r="A445" s="138"/>
      <c r="B445" s="138"/>
      <c r="C445" s="138"/>
      <c r="D445" s="138"/>
      <c r="E445" s="138"/>
      <c r="F445" s="138"/>
      <c r="G445" s="138"/>
      <c r="H445" s="138"/>
      <c r="I445" s="138"/>
      <c r="J445" s="138"/>
      <c r="K445" s="138"/>
      <c r="L445" s="138"/>
      <c r="M445" s="138"/>
      <c r="N445" s="138"/>
      <c r="O445" s="138"/>
      <c r="P445" s="138"/>
    </row>
    <row r="446">
      <c r="A446" s="138"/>
      <c r="B446" s="138"/>
      <c r="C446" s="138"/>
      <c r="D446" s="138"/>
      <c r="E446" s="138"/>
      <c r="F446" s="138"/>
      <c r="G446" s="138"/>
      <c r="H446" s="138"/>
      <c r="I446" s="138"/>
      <c r="J446" s="138"/>
      <c r="K446" s="138"/>
      <c r="L446" s="138"/>
      <c r="M446" s="138"/>
      <c r="N446" s="138"/>
      <c r="O446" s="138"/>
      <c r="P446" s="138"/>
    </row>
    <row r="447">
      <c r="A447" s="138"/>
      <c r="B447" s="138"/>
      <c r="C447" s="138"/>
      <c r="D447" s="138"/>
      <c r="E447" s="138"/>
      <c r="F447" s="138"/>
      <c r="G447" s="138"/>
      <c r="H447" s="138"/>
      <c r="I447" s="138"/>
      <c r="J447" s="138"/>
      <c r="K447" s="138"/>
      <c r="L447" s="138"/>
      <c r="M447" s="138"/>
      <c r="N447" s="138"/>
      <c r="O447" s="138"/>
      <c r="P447" s="138"/>
    </row>
    <row r="448">
      <c r="A448" s="138"/>
      <c r="B448" s="138"/>
      <c r="C448" s="138"/>
      <c r="D448" s="138"/>
      <c r="E448" s="138"/>
      <c r="F448" s="138"/>
      <c r="G448" s="138"/>
      <c r="H448" s="138"/>
      <c r="I448" s="138"/>
      <c r="J448" s="138"/>
      <c r="K448" s="138"/>
      <c r="L448" s="138"/>
      <c r="M448" s="138"/>
      <c r="N448" s="138"/>
      <c r="O448" s="138"/>
      <c r="P448" s="138"/>
    </row>
    <row r="449">
      <c r="A449" s="138"/>
      <c r="B449" s="138"/>
      <c r="C449" s="138"/>
      <c r="D449" s="138"/>
      <c r="E449" s="138"/>
      <c r="F449" s="138"/>
      <c r="G449" s="138"/>
      <c r="H449" s="138"/>
      <c r="I449" s="138"/>
      <c r="J449" s="138"/>
      <c r="K449" s="138"/>
      <c r="L449" s="138"/>
      <c r="M449" s="138"/>
      <c r="N449" s="138"/>
      <c r="O449" s="138"/>
      <c r="P449" s="138"/>
    </row>
    <row r="450">
      <c r="A450" s="138"/>
      <c r="B450" s="138"/>
      <c r="C450" s="138"/>
      <c r="D450" s="138"/>
      <c r="E450" s="138"/>
      <c r="F450" s="138"/>
      <c r="G450" s="138"/>
      <c r="H450" s="138"/>
      <c r="I450" s="138"/>
      <c r="J450" s="138"/>
      <c r="K450" s="138"/>
      <c r="L450" s="138"/>
      <c r="M450" s="138"/>
      <c r="N450" s="138"/>
      <c r="O450" s="138"/>
      <c r="P450" s="138"/>
    </row>
    <row r="451">
      <c r="A451" s="138"/>
      <c r="B451" s="138"/>
      <c r="C451" s="138"/>
      <c r="D451" s="138"/>
      <c r="E451" s="138"/>
      <c r="F451" s="138"/>
      <c r="G451" s="138"/>
      <c r="H451" s="138"/>
      <c r="I451" s="138"/>
      <c r="J451" s="138"/>
      <c r="K451" s="138"/>
      <c r="L451" s="138"/>
      <c r="M451" s="138"/>
      <c r="N451" s="138"/>
      <c r="O451" s="138"/>
      <c r="P451" s="138"/>
    </row>
    <row r="452">
      <c r="A452" s="138"/>
      <c r="B452" s="138"/>
      <c r="C452" s="138"/>
      <c r="D452" s="138"/>
      <c r="E452" s="138"/>
      <c r="F452" s="138"/>
      <c r="G452" s="138"/>
      <c r="H452" s="138"/>
      <c r="I452" s="138"/>
      <c r="J452" s="138"/>
      <c r="K452" s="138"/>
      <c r="L452" s="138"/>
      <c r="M452" s="138"/>
      <c r="N452" s="138"/>
      <c r="O452" s="138"/>
      <c r="P452" s="138"/>
    </row>
    <row r="453">
      <c r="A453" s="138"/>
      <c r="B453" s="138"/>
      <c r="C453" s="138"/>
      <c r="D453" s="138"/>
      <c r="E453" s="138"/>
      <c r="F453" s="138"/>
      <c r="G453" s="138"/>
      <c r="H453" s="138"/>
      <c r="I453" s="138"/>
      <c r="J453" s="138"/>
      <c r="K453" s="138"/>
      <c r="L453" s="138"/>
      <c r="M453" s="138"/>
      <c r="N453" s="138"/>
      <c r="O453" s="138"/>
      <c r="P453" s="138"/>
    </row>
    <row r="454">
      <c r="A454" s="138"/>
      <c r="B454" s="138"/>
      <c r="C454" s="138"/>
      <c r="D454" s="138"/>
      <c r="E454" s="138"/>
      <c r="F454" s="138"/>
      <c r="G454" s="138"/>
      <c r="H454" s="138"/>
      <c r="I454" s="138"/>
      <c r="J454" s="138"/>
      <c r="K454" s="138"/>
      <c r="L454" s="138"/>
      <c r="M454" s="138"/>
      <c r="N454" s="138"/>
      <c r="O454" s="138"/>
      <c r="P454" s="138"/>
    </row>
    <row r="455">
      <c r="A455" s="138"/>
      <c r="B455" s="138"/>
      <c r="C455" s="138"/>
      <c r="D455" s="138"/>
      <c r="E455" s="138"/>
      <c r="F455" s="138"/>
      <c r="G455" s="138"/>
      <c r="H455" s="138"/>
      <c r="I455" s="138"/>
      <c r="J455" s="138"/>
      <c r="K455" s="138"/>
      <c r="L455" s="138"/>
      <c r="M455" s="138"/>
      <c r="N455" s="138"/>
      <c r="O455" s="138"/>
      <c r="P455" s="138"/>
    </row>
    <row r="456">
      <c r="A456" s="138"/>
      <c r="B456" s="138"/>
      <c r="C456" s="138"/>
      <c r="D456" s="138"/>
      <c r="E456" s="138"/>
      <c r="F456" s="138"/>
      <c r="G456" s="138"/>
      <c r="H456" s="138"/>
      <c r="I456" s="138"/>
      <c r="J456" s="138"/>
      <c r="K456" s="138"/>
      <c r="L456" s="138"/>
      <c r="M456" s="138"/>
      <c r="N456" s="138"/>
      <c r="O456" s="138"/>
      <c r="P456" s="138"/>
    </row>
    <row r="457">
      <c r="A457" s="138"/>
      <c r="B457" s="138"/>
      <c r="C457" s="138"/>
      <c r="D457" s="138"/>
      <c r="E457" s="138"/>
      <c r="F457" s="138"/>
      <c r="G457" s="138"/>
      <c r="H457" s="138"/>
      <c r="I457" s="138"/>
      <c r="J457" s="138"/>
      <c r="K457" s="138"/>
      <c r="L457" s="138"/>
      <c r="M457" s="138"/>
      <c r="N457" s="138"/>
      <c r="O457" s="138"/>
      <c r="P457" s="138"/>
    </row>
    <row r="458">
      <c r="A458" s="138"/>
      <c r="B458" s="138"/>
      <c r="C458" s="138"/>
      <c r="D458" s="138"/>
      <c r="E458" s="138"/>
      <c r="F458" s="138"/>
      <c r="G458" s="138"/>
      <c r="H458" s="138"/>
      <c r="I458" s="138"/>
      <c r="J458" s="138"/>
      <c r="K458" s="138"/>
      <c r="L458" s="138"/>
      <c r="M458" s="138"/>
      <c r="N458" s="138"/>
      <c r="O458" s="138"/>
      <c r="P458" s="138"/>
    </row>
    <row r="459">
      <c r="A459" s="138"/>
      <c r="B459" s="138"/>
      <c r="C459" s="138"/>
      <c r="D459" s="138"/>
      <c r="E459" s="138"/>
      <c r="F459" s="138"/>
      <c r="G459" s="138"/>
      <c r="H459" s="138"/>
      <c r="I459" s="138"/>
      <c r="J459" s="138"/>
      <c r="K459" s="138"/>
      <c r="L459" s="138"/>
      <c r="M459" s="138"/>
      <c r="N459" s="138"/>
      <c r="O459" s="138"/>
      <c r="P459" s="138"/>
    </row>
    <row r="460">
      <c r="A460" s="138"/>
      <c r="B460" s="138"/>
      <c r="C460" s="138"/>
      <c r="D460" s="138"/>
      <c r="E460" s="138"/>
      <c r="F460" s="138"/>
      <c r="G460" s="138"/>
      <c r="H460" s="138"/>
      <c r="I460" s="138"/>
      <c r="J460" s="138"/>
      <c r="K460" s="138"/>
      <c r="L460" s="138"/>
      <c r="M460" s="138"/>
      <c r="N460" s="138"/>
      <c r="O460" s="138"/>
      <c r="P460" s="138"/>
    </row>
    <row r="461">
      <c r="A461" s="138"/>
      <c r="B461" s="138"/>
      <c r="C461" s="138"/>
      <c r="D461" s="138"/>
      <c r="E461" s="138"/>
      <c r="F461" s="138"/>
      <c r="G461" s="138"/>
      <c r="H461" s="138"/>
      <c r="I461" s="138"/>
      <c r="J461" s="138"/>
      <c r="K461" s="138"/>
      <c r="L461" s="138"/>
      <c r="M461" s="138"/>
      <c r="N461" s="138"/>
      <c r="O461" s="138"/>
      <c r="P461" s="138"/>
    </row>
    <row r="462">
      <c r="A462" s="138"/>
      <c r="B462" s="138"/>
      <c r="C462" s="138"/>
      <c r="D462" s="138"/>
      <c r="E462" s="138"/>
      <c r="F462" s="138"/>
      <c r="G462" s="138"/>
      <c r="H462" s="138"/>
      <c r="I462" s="138"/>
      <c r="J462" s="138"/>
      <c r="K462" s="138"/>
      <c r="L462" s="138"/>
      <c r="M462" s="138"/>
      <c r="N462" s="138"/>
      <c r="O462" s="138"/>
      <c r="P462" s="138"/>
    </row>
    <row r="463">
      <c r="A463" s="138"/>
      <c r="B463" s="138"/>
      <c r="C463" s="138"/>
      <c r="D463" s="138"/>
      <c r="E463" s="138"/>
      <c r="F463" s="138"/>
      <c r="G463" s="138"/>
      <c r="H463" s="138"/>
      <c r="I463" s="138"/>
      <c r="J463" s="138"/>
      <c r="K463" s="138"/>
      <c r="L463" s="138"/>
      <c r="M463" s="138"/>
      <c r="N463" s="138"/>
      <c r="O463" s="138"/>
      <c r="P463" s="138"/>
    </row>
    <row r="464">
      <c r="A464" s="138"/>
      <c r="B464" s="138"/>
      <c r="C464" s="138"/>
      <c r="D464" s="138"/>
      <c r="E464" s="138"/>
      <c r="F464" s="138"/>
      <c r="G464" s="138"/>
      <c r="H464" s="138"/>
      <c r="I464" s="138"/>
      <c r="J464" s="138"/>
      <c r="K464" s="138"/>
      <c r="L464" s="138"/>
      <c r="M464" s="138"/>
      <c r="N464" s="138"/>
      <c r="O464" s="138"/>
      <c r="P464" s="138"/>
    </row>
    <row r="465">
      <c r="A465" s="138"/>
      <c r="B465" s="138"/>
      <c r="C465" s="138"/>
      <c r="D465" s="138"/>
      <c r="E465" s="138"/>
      <c r="F465" s="138"/>
      <c r="G465" s="138"/>
      <c r="H465" s="138"/>
      <c r="I465" s="138"/>
      <c r="J465" s="138"/>
      <c r="K465" s="138"/>
      <c r="L465" s="138"/>
      <c r="M465" s="138"/>
      <c r="N465" s="138"/>
      <c r="O465" s="138"/>
      <c r="P465" s="138"/>
    </row>
    <row r="466">
      <c r="A466" s="138"/>
      <c r="B466" s="138"/>
      <c r="C466" s="138"/>
      <c r="D466" s="138"/>
      <c r="E466" s="138"/>
      <c r="F466" s="138"/>
      <c r="G466" s="138"/>
      <c r="H466" s="138"/>
      <c r="I466" s="138"/>
      <c r="J466" s="138"/>
      <c r="K466" s="138"/>
      <c r="L466" s="138"/>
      <c r="M466" s="138"/>
      <c r="N466" s="138"/>
      <c r="O466" s="138"/>
      <c r="P466" s="138"/>
    </row>
    <row r="467">
      <c r="A467" s="138"/>
      <c r="B467" s="138"/>
      <c r="C467" s="138"/>
      <c r="D467" s="138"/>
      <c r="E467" s="138"/>
      <c r="F467" s="138"/>
      <c r="G467" s="138"/>
      <c r="H467" s="138"/>
      <c r="I467" s="138"/>
      <c r="J467" s="138"/>
      <c r="K467" s="138"/>
      <c r="L467" s="138"/>
      <c r="M467" s="138"/>
      <c r="N467" s="138"/>
      <c r="O467" s="138"/>
      <c r="P467" s="138"/>
    </row>
    <row r="468">
      <c r="A468" s="138"/>
      <c r="B468" s="138"/>
      <c r="C468" s="138"/>
      <c r="D468" s="138"/>
      <c r="E468" s="138"/>
      <c r="F468" s="138"/>
      <c r="G468" s="138"/>
      <c r="H468" s="138"/>
      <c r="I468" s="138"/>
      <c r="J468" s="138"/>
      <c r="K468" s="138"/>
      <c r="L468" s="138"/>
      <c r="M468" s="138"/>
      <c r="N468" s="138"/>
      <c r="O468" s="138"/>
      <c r="P468" s="138"/>
    </row>
    <row r="469">
      <c r="A469" s="138"/>
      <c r="B469" s="138"/>
      <c r="C469" s="138"/>
      <c r="D469" s="138"/>
      <c r="E469" s="138"/>
      <c r="F469" s="138"/>
      <c r="G469" s="138"/>
      <c r="H469" s="138"/>
      <c r="I469" s="138"/>
      <c r="J469" s="138"/>
      <c r="K469" s="138"/>
      <c r="L469" s="138"/>
      <c r="M469" s="138"/>
      <c r="N469" s="138"/>
      <c r="O469" s="138"/>
      <c r="P469" s="138"/>
    </row>
    <row r="470">
      <c r="A470" s="138"/>
      <c r="B470" s="138"/>
      <c r="C470" s="138"/>
      <c r="D470" s="138"/>
      <c r="E470" s="138"/>
      <c r="F470" s="138"/>
      <c r="G470" s="138"/>
      <c r="H470" s="138"/>
      <c r="I470" s="138"/>
      <c r="J470" s="138"/>
      <c r="K470" s="138"/>
      <c r="L470" s="138"/>
      <c r="M470" s="138"/>
      <c r="N470" s="138"/>
      <c r="O470" s="138"/>
      <c r="P470" s="138"/>
    </row>
    <row r="471">
      <c r="A471" s="138"/>
      <c r="B471" s="138"/>
      <c r="C471" s="138"/>
      <c r="D471" s="138"/>
      <c r="E471" s="138"/>
      <c r="F471" s="138"/>
      <c r="G471" s="138"/>
      <c r="H471" s="138"/>
      <c r="I471" s="138"/>
      <c r="J471" s="138"/>
      <c r="K471" s="138"/>
      <c r="L471" s="138"/>
      <c r="M471" s="138"/>
      <c r="N471" s="138"/>
      <c r="O471" s="138"/>
      <c r="P471" s="138"/>
    </row>
    <row r="472">
      <c r="A472" s="138"/>
      <c r="B472" s="138"/>
      <c r="C472" s="138"/>
      <c r="D472" s="138"/>
      <c r="E472" s="138"/>
      <c r="F472" s="138"/>
      <c r="G472" s="138"/>
      <c r="H472" s="138"/>
      <c r="I472" s="138"/>
      <c r="J472" s="138"/>
      <c r="K472" s="138"/>
      <c r="L472" s="138"/>
      <c r="M472" s="138"/>
      <c r="N472" s="138"/>
      <c r="O472" s="138"/>
      <c r="P472" s="138"/>
    </row>
    <row r="473">
      <c r="A473" s="138"/>
      <c r="B473" s="138"/>
      <c r="C473" s="138"/>
      <c r="D473" s="138"/>
      <c r="E473" s="138"/>
      <c r="F473" s="138"/>
      <c r="G473" s="138"/>
      <c r="H473" s="138"/>
      <c r="I473" s="138"/>
      <c r="J473" s="138"/>
      <c r="K473" s="138"/>
      <c r="L473" s="138"/>
      <c r="M473" s="138"/>
      <c r="N473" s="138"/>
      <c r="O473" s="138"/>
      <c r="P473" s="138"/>
    </row>
    <row r="474">
      <c r="A474" s="138"/>
      <c r="B474" s="138"/>
      <c r="C474" s="138"/>
      <c r="D474" s="138"/>
      <c r="E474" s="138"/>
      <c r="F474" s="138"/>
      <c r="G474" s="138"/>
      <c r="H474" s="138"/>
      <c r="I474" s="138"/>
      <c r="J474" s="138"/>
      <c r="K474" s="138"/>
      <c r="L474" s="138"/>
      <c r="M474" s="138"/>
      <c r="N474" s="138"/>
      <c r="O474" s="138"/>
      <c r="P474" s="138"/>
    </row>
    <row r="475">
      <c r="A475" s="138"/>
      <c r="B475" s="138"/>
      <c r="C475" s="138"/>
      <c r="D475" s="138"/>
      <c r="E475" s="138"/>
      <c r="F475" s="138"/>
      <c r="G475" s="138"/>
      <c r="H475" s="138"/>
      <c r="I475" s="138"/>
      <c r="J475" s="138"/>
      <c r="K475" s="138"/>
      <c r="L475" s="138"/>
      <c r="M475" s="138"/>
      <c r="N475" s="138"/>
      <c r="O475" s="138"/>
      <c r="P475" s="138"/>
    </row>
    <row r="476">
      <c r="A476" s="138"/>
      <c r="B476" s="138"/>
      <c r="C476" s="138"/>
      <c r="D476" s="138"/>
      <c r="E476" s="138"/>
      <c r="F476" s="138"/>
      <c r="G476" s="138"/>
      <c r="H476" s="138"/>
      <c r="I476" s="138"/>
      <c r="J476" s="138"/>
      <c r="K476" s="138"/>
      <c r="L476" s="138"/>
      <c r="M476" s="138"/>
      <c r="N476" s="138"/>
      <c r="O476" s="138"/>
      <c r="P476" s="138"/>
    </row>
    <row r="477">
      <c r="A477" s="138"/>
      <c r="B477" s="138"/>
      <c r="C477" s="138"/>
      <c r="D477" s="138"/>
      <c r="E477" s="138"/>
      <c r="F477" s="138"/>
      <c r="G477" s="138"/>
      <c r="H477" s="138"/>
      <c r="I477" s="138"/>
      <c r="J477" s="138"/>
      <c r="K477" s="138"/>
      <c r="L477" s="138"/>
      <c r="M477" s="138"/>
      <c r="N477" s="138"/>
      <c r="O477" s="138"/>
      <c r="P477" s="138"/>
    </row>
    <row r="478">
      <c r="A478" s="138"/>
      <c r="B478" s="138"/>
      <c r="C478" s="138"/>
      <c r="D478" s="138"/>
      <c r="E478" s="138"/>
      <c r="F478" s="138"/>
      <c r="G478" s="138"/>
      <c r="H478" s="138"/>
      <c r="I478" s="138"/>
      <c r="J478" s="138"/>
      <c r="K478" s="138"/>
      <c r="L478" s="138"/>
      <c r="M478" s="138"/>
      <c r="N478" s="138"/>
      <c r="O478" s="138"/>
      <c r="P478" s="138"/>
    </row>
    <row r="479">
      <c r="A479" s="138"/>
      <c r="B479" s="138"/>
      <c r="C479" s="138"/>
      <c r="D479" s="138"/>
      <c r="E479" s="138"/>
      <c r="F479" s="138"/>
      <c r="G479" s="138"/>
      <c r="H479" s="138"/>
      <c r="I479" s="138"/>
      <c r="J479" s="138"/>
      <c r="K479" s="138"/>
      <c r="L479" s="138"/>
      <c r="M479" s="138"/>
      <c r="N479" s="138"/>
      <c r="O479" s="138"/>
      <c r="P479" s="138"/>
    </row>
    <row r="480">
      <c r="A480" s="138"/>
      <c r="B480" s="138"/>
      <c r="C480" s="138"/>
      <c r="D480" s="138"/>
      <c r="E480" s="138"/>
      <c r="F480" s="138"/>
      <c r="G480" s="138"/>
      <c r="H480" s="138"/>
      <c r="I480" s="138"/>
      <c r="J480" s="138"/>
      <c r="K480" s="138"/>
      <c r="L480" s="138"/>
      <c r="M480" s="138"/>
      <c r="N480" s="138"/>
      <c r="O480" s="138"/>
      <c r="P480" s="138"/>
    </row>
    <row r="481">
      <c r="A481" s="138"/>
      <c r="B481" s="138"/>
      <c r="C481" s="138"/>
      <c r="D481" s="138"/>
      <c r="E481" s="138"/>
      <c r="F481" s="138"/>
      <c r="G481" s="138"/>
      <c r="H481" s="138"/>
      <c r="I481" s="138"/>
      <c r="J481" s="138"/>
      <c r="K481" s="138"/>
      <c r="L481" s="138"/>
      <c r="M481" s="138"/>
      <c r="N481" s="138"/>
      <c r="O481" s="138"/>
      <c r="P481" s="138"/>
    </row>
    <row r="482">
      <c r="A482" s="138"/>
      <c r="B482" s="138"/>
      <c r="C482" s="138"/>
      <c r="D482" s="138"/>
      <c r="E482" s="138"/>
      <c r="F482" s="138"/>
      <c r="G482" s="138"/>
      <c r="H482" s="138"/>
      <c r="I482" s="138"/>
      <c r="J482" s="138"/>
      <c r="K482" s="138"/>
      <c r="L482" s="138"/>
      <c r="M482" s="138"/>
      <c r="N482" s="138"/>
      <c r="O482" s="138"/>
      <c r="P482" s="138"/>
    </row>
    <row r="483">
      <c r="A483" s="138"/>
      <c r="B483" s="138"/>
      <c r="C483" s="138"/>
      <c r="D483" s="138"/>
      <c r="E483" s="138"/>
      <c r="F483" s="138"/>
      <c r="G483" s="138"/>
      <c r="H483" s="138"/>
      <c r="I483" s="138"/>
      <c r="J483" s="138"/>
      <c r="K483" s="138"/>
      <c r="L483" s="138"/>
      <c r="M483" s="138"/>
      <c r="N483" s="138"/>
      <c r="O483" s="138"/>
      <c r="P483" s="138"/>
    </row>
    <row r="484">
      <c r="A484" s="138"/>
      <c r="B484" s="138"/>
      <c r="C484" s="138"/>
      <c r="D484" s="138"/>
      <c r="E484" s="138"/>
      <c r="F484" s="138"/>
      <c r="G484" s="138"/>
      <c r="H484" s="138"/>
      <c r="I484" s="138"/>
      <c r="J484" s="138"/>
      <c r="K484" s="138"/>
      <c r="L484" s="138"/>
      <c r="M484" s="138"/>
      <c r="N484" s="138"/>
      <c r="O484" s="138"/>
      <c r="P484" s="138"/>
    </row>
    <row r="485">
      <c r="A485" s="138"/>
      <c r="B485" s="138"/>
      <c r="C485" s="138"/>
      <c r="D485" s="138"/>
      <c r="E485" s="138"/>
      <c r="F485" s="138"/>
      <c r="G485" s="138"/>
      <c r="H485" s="138"/>
      <c r="I485" s="138"/>
      <c r="J485" s="138"/>
      <c r="K485" s="138"/>
      <c r="L485" s="138"/>
      <c r="M485" s="138"/>
      <c r="N485" s="138"/>
      <c r="O485" s="138"/>
      <c r="P485" s="138"/>
    </row>
    <row r="486">
      <c r="A486" s="138"/>
      <c r="B486" s="138"/>
      <c r="C486" s="138"/>
      <c r="D486" s="138"/>
      <c r="E486" s="138"/>
      <c r="F486" s="138"/>
      <c r="G486" s="138"/>
      <c r="H486" s="138"/>
      <c r="I486" s="138"/>
      <c r="J486" s="138"/>
      <c r="K486" s="138"/>
      <c r="L486" s="138"/>
      <c r="M486" s="138"/>
      <c r="N486" s="138"/>
      <c r="O486" s="138"/>
      <c r="P486" s="138"/>
    </row>
    <row r="487">
      <c r="A487" s="138"/>
      <c r="B487" s="138"/>
      <c r="C487" s="138"/>
      <c r="D487" s="138"/>
      <c r="E487" s="138"/>
      <c r="F487" s="138"/>
      <c r="G487" s="138"/>
      <c r="H487" s="138"/>
      <c r="I487" s="138"/>
      <c r="J487" s="138"/>
      <c r="K487" s="138"/>
      <c r="L487" s="138"/>
      <c r="M487" s="138"/>
      <c r="N487" s="138"/>
      <c r="O487" s="138"/>
      <c r="P487" s="138"/>
    </row>
    <row r="488">
      <c r="A488" s="138"/>
      <c r="B488" s="138"/>
      <c r="C488" s="138"/>
      <c r="D488" s="138"/>
      <c r="E488" s="138"/>
      <c r="F488" s="138"/>
      <c r="G488" s="138"/>
      <c r="H488" s="138"/>
      <c r="I488" s="138"/>
      <c r="J488" s="138"/>
      <c r="K488" s="138"/>
      <c r="L488" s="138"/>
      <c r="M488" s="138"/>
      <c r="N488" s="138"/>
      <c r="O488" s="138"/>
      <c r="P488" s="138"/>
    </row>
    <row r="489">
      <c r="A489" s="138"/>
      <c r="B489" s="138"/>
      <c r="C489" s="138"/>
      <c r="D489" s="138"/>
      <c r="E489" s="138"/>
      <c r="F489" s="138"/>
      <c r="G489" s="138"/>
      <c r="H489" s="138"/>
      <c r="I489" s="138"/>
      <c r="J489" s="138"/>
      <c r="K489" s="138"/>
      <c r="L489" s="138"/>
      <c r="M489" s="138"/>
      <c r="N489" s="138"/>
      <c r="O489" s="138"/>
      <c r="P489" s="138"/>
    </row>
    <row r="490">
      <c r="A490" s="138"/>
      <c r="B490" s="138"/>
      <c r="C490" s="138"/>
      <c r="D490" s="138"/>
      <c r="E490" s="138"/>
      <c r="F490" s="138"/>
      <c r="G490" s="138"/>
      <c r="H490" s="138"/>
      <c r="I490" s="138"/>
      <c r="J490" s="138"/>
      <c r="K490" s="138"/>
      <c r="L490" s="138"/>
      <c r="M490" s="138"/>
      <c r="N490" s="138"/>
      <c r="O490" s="138"/>
      <c r="P490" s="138"/>
    </row>
    <row r="491">
      <c r="A491" s="138"/>
      <c r="B491" s="138"/>
      <c r="C491" s="138"/>
      <c r="D491" s="138"/>
      <c r="E491" s="138"/>
      <c r="F491" s="138"/>
      <c r="G491" s="138"/>
      <c r="H491" s="138"/>
      <c r="I491" s="138"/>
      <c r="J491" s="138"/>
      <c r="K491" s="138"/>
      <c r="L491" s="138"/>
      <c r="M491" s="138"/>
      <c r="N491" s="138"/>
      <c r="O491" s="138"/>
      <c r="P491" s="138"/>
    </row>
    <row r="492">
      <c r="A492" s="138"/>
      <c r="B492" s="138"/>
      <c r="C492" s="138"/>
      <c r="D492" s="138"/>
      <c r="E492" s="138"/>
      <c r="F492" s="138"/>
      <c r="G492" s="138"/>
      <c r="H492" s="138"/>
      <c r="I492" s="138"/>
      <c r="J492" s="138"/>
      <c r="K492" s="138"/>
      <c r="L492" s="138"/>
      <c r="M492" s="138"/>
      <c r="N492" s="138"/>
      <c r="O492" s="138"/>
      <c r="P492" s="138"/>
    </row>
    <row r="493">
      <c r="A493" s="138"/>
      <c r="B493" s="138"/>
      <c r="C493" s="138"/>
      <c r="D493" s="138"/>
      <c r="E493" s="138"/>
      <c r="F493" s="138"/>
      <c r="G493" s="138"/>
      <c r="H493" s="138"/>
      <c r="I493" s="138"/>
      <c r="J493" s="138"/>
      <c r="K493" s="138"/>
      <c r="L493" s="138"/>
      <c r="M493" s="138"/>
      <c r="N493" s="138"/>
      <c r="O493" s="138"/>
      <c r="P493" s="138"/>
    </row>
    <row r="494">
      <c r="A494" s="138"/>
      <c r="B494" s="138"/>
      <c r="C494" s="138"/>
      <c r="D494" s="138"/>
      <c r="E494" s="138"/>
      <c r="F494" s="138"/>
      <c r="G494" s="138"/>
      <c r="H494" s="138"/>
      <c r="I494" s="138"/>
      <c r="J494" s="138"/>
      <c r="K494" s="138"/>
      <c r="L494" s="138"/>
      <c r="M494" s="138"/>
      <c r="N494" s="138"/>
      <c r="O494" s="138"/>
      <c r="P494" s="138"/>
    </row>
    <row r="495">
      <c r="A495" s="138"/>
      <c r="B495" s="138"/>
      <c r="C495" s="138"/>
      <c r="D495" s="138"/>
      <c r="E495" s="138"/>
      <c r="F495" s="138"/>
      <c r="G495" s="138"/>
      <c r="H495" s="138"/>
      <c r="I495" s="138"/>
      <c r="J495" s="138"/>
      <c r="K495" s="138"/>
      <c r="L495" s="138"/>
      <c r="M495" s="138"/>
      <c r="N495" s="138"/>
      <c r="O495" s="138"/>
      <c r="P495" s="138"/>
    </row>
    <row r="496">
      <c r="A496" s="138"/>
      <c r="B496" s="138"/>
      <c r="C496" s="138"/>
      <c r="D496" s="138"/>
      <c r="E496" s="138"/>
      <c r="F496" s="138"/>
      <c r="G496" s="138"/>
      <c r="H496" s="138"/>
      <c r="I496" s="138"/>
      <c r="J496" s="138"/>
      <c r="K496" s="138"/>
      <c r="L496" s="138"/>
      <c r="M496" s="138"/>
      <c r="N496" s="138"/>
      <c r="O496" s="138"/>
      <c r="P496" s="138"/>
    </row>
    <row r="497">
      <c r="A497" s="138"/>
      <c r="B497" s="138"/>
      <c r="C497" s="138"/>
      <c r="D497" s="138"/>
      <c r="E497" s="138"/>
      <c r="F497" s="138"/>
      <c r="G497" s="138"/>
      <c r="H497" s="138"/>
      <c r="I497" s="138"/>
      <c r="J497" s="138"/>
      <c r="K497" s="138"/>
      <c r="L497" s="138"/>
      <c r="M497" s="138"/>
      <c r="N497" s="138"/>
      <c r="O497" s="138"/>
      <c r="P497" s="138"/>
    </row>
    <row r="498">
      <c r="A498" s="138"/>
      <c r="B498" s="138"/>
      <c r="C498" s="138"/>
      <c r="D498" s="138"/>
      <c r="E498" s="138"/>
      <c r="F498" s="138"/>
      <c r="G498" s="138"/>
      <c r="H498" s="138"/>
      <c r="I498" s="138"/>
      <c r="J498" s="138"/>
      <c r="K498" s="138"/>
      <c r="L498" s="138"/>
      <c r="M498" s="138"/>
      <c r="N498" s="138"/>
      <c r="O498" s="138"/>
      <c r="P498" s="138"/>
    </row>
    <row r="499">
      <c r="A499" s="138"/>
      <c r="B499" s="138"/>
      <c r="C499" s="138"/>
      <c r="D499" s="138"/>
      <c r="E499" s="138"/>
      <c r="F499" s="138"/>
      <c r="G499" s="138"/>
      <c r="H499" s="138"/>
      <c r="I499" s="138"/>
      <c r="J499" s="138"/>
      <c r="K499" s="138"/>
      <c r="L499" s="138"/>
      <c r="M499" s="138"/>
      <c r="N499" s="138"/>
      <c r="O499" s="138"/>
      <c r="P499" s="138"/>
    </row>
    <row r="500">
      <c r="A500" s="138"/>
      <c r="B500" s="138"/>
      <c r="C500" s="138"/>
      <c r="D500" s="138"/>
      <c r="E500" s="138"/>
      <c r="F500" s="138"/>
      <c r="G500" s="138"/>
      <c r="H500" s="138"/>
      <c r="I500" s="138"/>
      <c r="J500" s="138"/>
      <c r="K500" s="138"/>
      <c r="L500" s="138"/>
      <c r="M500" s="138"/>
      <c r="N500" s="138"/>
      <c r="O500" s="138"/>
      <c r="P500" s="138"/>
    </row>
    <row r="501">
      <c r="A501" s="138"/>
      <c r="B501" s="138"/>
      <c r="C501" s="138"/>
      <c r="D501" s="138"/>
      <c r="E501" s="138"/>
      <c r="F501" s="138"/>
      <c r="G501" s="138"/>
      <c r="H501" s="138"/>
      <c r="I501" s="138"/>
      <c r="J501" s="138"/>
      <c r="K501" s="138"/>
      <c r="L501" s="138"/>
      <c r="M501" s="138"/>
      <c r="N501" s="138"/>
      <c r="O501" s="138"/>
      <c r="P501" s="138"/>
    </row>
    <row r="502">
      <c r="A502" s="138"/>
      <c r="B502" s="138"/>
      <c r="C502" s="138"/>
      <c r="D502" s="138"/>
      <c r="E502" s="138"/>
      <c r="F502" s="138"/>
      <c r="G502" s="138"/>
      <c r="H502" s="138"/>
      <c r="I502" s="138"/>
      <c r="J502" s="138"/>
      <c r="K502" s="138"/>
      <c r="L502" s="138"/>
      <c r="M502" s="138"/>
      <c r="N502" s="138"/>
      <c r="O502" s="138"/>
      <c r="P502" s="138"/>
    </row>
    <row r="503">
      <c r="A503" s="138"/>
      <c r="B503" s="138"/>
      <c r="C503" s="138"/>
      <c r="D503" s="138"/>
      <c r="E503" s="138"/>
      <c r="F503" s="138"/>
      <c r="G503" s="138"/>
      <c r="H503" s="138"/>
      <c r="I503" s="138"/>
      <c r="J503" s="138"/>
      <c r="K503" s="138"/>
      <c r="L503" s="138"/>
      <c r="M503" s="138"/>
      <c r="N503" s="138"/>
      <c r="O503" s="138"/>
      <c r="P503" s="138"/>
    </row>
    <row r="504">
      <c r="A504" s="138"/>
      <c r="B504" s="138"/>
      <c r="C504" s="138"/>
      <c r="D504" s="138"/>
      <c r="E504" s="138"/>
      <c r="F504" s="138"/>
      <c r="G504" s="138"/>
      <c r="H504" s="138"/>
      <c r="I504" s="138"/>
      <c r="J504" s="138"/>
      <c r="K504" s="138"/>
      <c r="L504" s="138"/>
      <c r="M504" s="138"/>
      <c r="N504" s="138"/>
      <c r="O504" s="138"/>
      <c r="P504" s="138"/>
    </row>
    <row r="505">
      <c r="A505" s="138"/>
      <c r="B505" s="138"/>
      <c r="C505" s="138"/>
      <c r="D505" s="138"/>
      <c r="E505" s="138"/>
      <c r="F505" s="138"/>
      <c r="G505" s="138"/>
      <c r="H505" s="138"/>
      <c r="I505" s="138"/>
      <c r="J505" s="138"/>
      <c r="K505" s="138"/>
      <c r="L505" s="138"/>
      <c r="M505" s="138"/>
      <c r="N505" s="138"/>
      <c r="O505" s="138"/>
      <c r="P505" s="138"/>
    </row>
    <row r="506">
      <c r="A506" s="138"/>
      <c r="B506" s="138"/>
      <c r="C506" s="138"/>
      <c r="D506" s="138"/>
      <c r="E506" s="138"/>
      <c r="F506" s="138"/>
      <c r="G506" s="138"/>
      <c r="H506" s="138"/>
      <c r="I506" s="138"/>
      <c r="J506" s="138"/>
      <c r="K506" s="138"/>
      <c r="L506" s="138"/>
      <c r="M506" s="138"/>
      <c r="N506" s="138"/>
      <c r="O506" s="138"/>
      <c r="P506" s="138"/>
    </row>
    <row r="507">
      <c r="A507" s="138"/>
      <c r="B507" s="138"/>
      <c r="C507" s="138"/>
      <c r="D507" s="138"/>
      <c r="E507" s="138"/>
      <c r="F507" s="138"/>
      <c r="G507" s="138"/>
      <c r="H507" s="138"/>
      <c r="I507" s="138"/>
      <c r="J507" s="138"/>
      <c r="K507" s="138"/>
      <c r="L507" s="138"/>
      <c r="M507" s="138"/>
      <c r="N507" s="138"/>
      <c r="O507" s="138"/>
      <c r="P507" s="138"/>
    </row>
    <row r="508">
      <c r="A508" s="138"/>
      <c r="B508" s="138"/>
      <c r="C508" s="138"/>
      <c r="D508" s="138"/>
      <c r="E508" s="138"/>
      <c r="F508" s="138"/>
      <c r="G508" s="138"/>
      <c r="H508" s="138"/>
      <c r="I508" s="138"/>
      <c r="J508" s="138"/>
      <c r="K508" s="138"/>
      <c r="L508" s="138"/>
      <c r="M508" s="138"/>
      <c r="N508" s="138"/>
      <c r="O508" s="138"/>
      <c r="P508" s="138"/>
    </row>
    <row r="509">
      <c r="A509" s="138"/>
      <c r="B509" s="138"/>
      <c r="C509" s="138"/>
      <c r="D509" s="138"/>
      <c r="E509" s="138"/>
      <c r="F509" s="138"/>
      <c r="G509" s="138"/>
      <c r="H509" s="138"/>
      <c r="I509" s="138"/>
      <c r="J509" s="138"/>
      <c r="K509" s="138"/>
      <c r="L509" s="138"/>
      <c r="M509" s="138"/>
      <c r="N509" s="138"/>
      <c r="O509" s="138"/>
      <c r="P509" s="138"/>
    </row>
    <row r="510">
      <c r="A510" s="138"/>
      <c r="B510" s="138"/>
      <c r="C510" s="138"/>
      <c r="D510" s="138"/>
      <c r="E510" s="138"/>
      <c r="F510" s="138"/>
      <c r="G510" s="138"/>
      <c r="H510" s="138"/>
      <c r="I510" s="138"/>
      <c r="J510" s="138"/>
      <c r="K510" s="138"/>
      <c r="L510" s="138"/>
      <c r="M510" s="138"/>
      <c r="N510" s="138"/>
      <c r="O510" s="138"/>
      <c r="P510" s="138"/>
    </row>
    <row r="511">
      <c r="A511" s="138"/>
      <c r="B511" s="138"/>
      <c r="C511" s="138"/>
      <c r="D511" s="138"/>
      <c r="E511" s="138"/>
      <c r="F511" s="138"/>
      <c r="G511" s="138"/>
      <c r="H511" s="138"/>
      <c r="I511" s="138"/>
      <c r="J511" s="138"/>
      <c r="K511" s="138"/>
      <c r="L511" s="138"/>
      <c r="M511" s="138"/>
      <c r="N511" s="138"/>
      <c r="O511" s="138"/>
      <c r="P511" s="138"/>
    </row>
    <row r="512">
      <c r="A512" s="138"/>
      <c r="B512" s="138"/>
      <c r="C512" s="138"/>
      <c r="D512" s="138"/>
      <c r="E512" s="138"/>
      <c r="F512" s="138"/>
      <c r="G512" s="138"/>
      <c r="H512" s="138"/>
      <c r="I512" s="138"/>
      <c r="J512" s="138"/>
      <c r="K512" s="138"/>
      <c r="L512" s="138"/>
      <c r="M512" s="138"/>
      <c r="N512" s="138"/>
      <c r="O512" s="138"/>
      <c r="P512" s="138"/>
    </row>
    <row r="513">
      <c r="A513" s="138"/>
      <c r="B513" s="138"/>
      <c r="C513" s="138"/>
      <c r="D513" s="138"/>
      <c r="E513" s="138"/>
      <c r="F513" s="138"/>
      <c r="G513" s="138"/>
      <c r="H513" s="138"/>
      <c r="I513" s="138"/>
      <c r="J513" s="138"/>
      <c r="K513" s="138"/>
      <c r="L513" s="138"/>
      <c r="M513" s="138"/>
      <c r="N513" s="138"/>
      <c r="O513" s="138"/>
      <c r="P513" s="138"/>
    </row>
    <row r="514">
      <c r="A514" s="138"/>
      <c r="B514" s="138"/>
      <c r="C514" s="138"/>
      <c r="D514" s="138"/>
      <c r="E514" s="138"/>
      <c r="F514" s="138"/>
      <c r="G514" s="138"/>
      <c r="H514" s="138"/>
      <c r="I514" s="138"/>
      <c r="J514" s="138"/>
      <c r="K514" s="138"/>
      <c r="L514" s="138"/>
      <c r="M514" s="138"/>
      <c r="N514" s="138"/>
      <c r="O514" s="138"/>
      <c r="P514" s="138"/>
    </row>
    <row r="515">
      <c r="A515" s="138"/>
      <c r="B515" s="138"/>
      <c r="C515" s="138"/>
      <c r="D515" s="138"/>
      <c r="E515" s="138"/>
      <c r="F515" s="138"/>
      <c r="G515" s="138"/>
      <c r="H515" s="138"/>
      <c r="I515" s="138"/>
      <c r="J515" s="138"/>
      <c r="K515" s="138"/>
      <c r="L515" s="138"/>
      <c r="M515" s="138"/>
      <c r="N515" s="138"/>
      <c r="O515" s="138"/>
      <c r="P515" s="138"/>
    </row>
    <row r="516">
      <c r="A516" s="138"/>
      <c r="B516" s="138"/>
      <c r="C516" s="138"/>
      <c r="D516" s="138"/>
      <c r="E516" s="138"/>
      <c r="F516" s="138"/>
      <c r="G516" s="138"/>
      <c r="H516" s="138"/>
      <c r="I516" s="138"/>
      <c r="J516" s="138"/>
      <c r="K516" s="138"/>
      <c r="L516" s="138"/>
      <c r="M516" s="138"/>
      <c r="N516" s="138"/>
      <c r="O516" s="138"/>
      <c r="P516" s="138"/>
    </row>
    <row r="517">
      <c r="A517" s="138"/>
      <c r="B517" s="138"/>
      <c r="C517" s="138"/>
      <c r="D517" s="138"/>
      <c r="E517" s="138"/>
      <c r="F517" s="138"/>
      <c r="G517" s="138"/>
      <c r="H517" s="138"/>
      <c r="I517" s="138"/>
      <c r="J517" s="138"/>
      <c r="K517" s="138"/>
      <c r="L517" s="138"/>
      <c r="M517" s="138"/>
      <c r="N517" s="138"/>
      <c r="O517" s="138"/>
      <c r="P517" s="138"/>
    </row>
    <row r="518">
      <c r="A518" s="138"/>
      <c r="B518" s="138"/>
      <c r="C518" s="138"/>
      <c r="D518" s="138"/>
      <c r="E518" s="138"/>
      <c r="F518" s="138"/>
      <c r="G518" s="138"/>
      <c r="H518" s="138"/>
      <c r="I518" s="138"/>
      <c r="J518" s="138"/>
      <c r="K518" s="138"/>
      <c r="L518" s="138"/>
      <c r="M518" s="138"/>
      <c r="N518" s="138"/>
      <c r="O518" s="138"/>
      <c r="P518" s="138"/>
    </row>
    <row r="519">
      <c r="A519" s="138"/>
      <c r="B519" s="138"/>
      <c r="C519" s="138"/>
      <c r="D519" s="138"/>
      <c r="E519" s="138"/>
      <c r="F519" s="138"/>
      <c r="G519" s="138"/>
      <c r="H519" s="138"/>
      <c r="I519" s="138"/>
      <c r="J519" s="138"/>
      <c r="K519" s="138"/>
      <c r="L519" s="138"/>
      <c r="M519" s="138"/>
      <c r="N519" s="138"/>
      <c r="O519" s="138"/>
      <c r="P519" s="138"/>
    </row>
    <row r="520">
      <c r="A520" s="138"/>
      <c r="B520" s="138"/>
      <c r="C520" s="138"/>
      <c r="D520" s="138"/>
      <c r="E520" s="138"/>
      <c r="F520" s="138"/>
      <c r="G520" s="138"/>
      <c r="H520" s="138"/>
      <c r="I520" s="138"/>
      <c r="J520" s="138"/>
      <c r="K520" s="138"/>
      <c r="L520" s="138"/>
      <c r="M520" s="138"/>
      <c r="N520" s="138"/>
      <c r="O520" s="138"/>
      <c r="P520" s="138"/>
    </row>
    <row r="521">
      <c r="A521" s="138"/>
      <c r="B521" s="138"/>
      <c r="C521" s="138"/>
      <c r="D521" s="138"/>
      <c r="E521" s="138"/>
      <c r="F521" s="138"/>
      <c r="G521" s="138"/>
      <c r="H521" s="138"/>
      <c r="I521" s="138"/>
      <c r="J521" s="138"/>
      <c r="K521" s="138"/>
      <c r="L521" s="138"/>
      <c r="M521" s="138"/>
      <c r="N521" s="138"/>
      <c r="O521" s="138"/>
      <c r="P521" s="138"/>
    </row>
    <row r="522">
      <c r="A522" s="138"/>
      <c r="B522" s="138"/>
      <c r="C522" s="138"/>
      <c r="D522" s="138"/>
      <c r="E522" s="138"/>
      <c r="F522" s="138"/>
      <c r="G522" s="138"/>
      <c r="H522" s="138"/>
      <c r="I522" s="138"/>
      <c r="J522" s="138"/>
      <c r="K522" s="138"/>
      <c r="L522" s="138"/>
      <c r="M522" s="138"/>
      <c r="N522" s="138"/>
      <c r="O522" s="138"/>
      <c r="P522" s="138"/>
    </row>
    <row r="523">
      <c r="A523" s="138"/>
      <c r="B523" s="138"/>
      <c r="C523" s="138"/>
      <c r="D523" s="138"/>
      <c r="E523" s="138"/>
      <c r="F523" s="138"/>
      <c r="G523" s="138"/>
      <c r="H523" s="138"/>
      <c r="I523" s="138"/>
      <c r="J523" s="138"/>
      <c r="K523" s="138"/>
      <c r="L523" s="138"/>
      <c r="M523" s="138"/>
      <c r="N523" s="138"/>
      <c r="O523" s="138"/>
      <c r="P523" s="138"/>
    </row>
    <row r="524">
      <c r="A524" s="138"/>
      <c r="B524" s="138"/>
      <c r="C524" s="138"/>
      <c r="D524" s="138"/>
      <c r="E524" s="138"/>
      <c r="F524" s="138"/>
      <c r="G524" s="138"/>
      <c r="H524" s="138"/>
      <c r="I524" s="138"/>
      <c r="J524" s="138"/>
      <c r="K524" s="138"/>
      <c r="L524" s="138"/>
      <c r="M524" s="138"/>
      <c r="N524" s="138"/>
      <c r="O524" s="138"/>
      <c r="P524" s="138"/>
    </row>
    <row r="525">
      <c r="A525" s="138"/>
      <c r="B525" s="138"/>
      <c r="C525" s="138"/>
      <c r="D525" s="138"/>
      <c r="E525" s="138"/>
      <c r="F525" s="138"/>
      <c r="G525" s="138"/>
      <c r="H525" s="138"/>
      <c r="I525" s="138"/>
      <c r="J525" s="138"/>
      <c r="K525" s="138"/>
      <c r="L525" s="138"/>
      <c r="M525" s="138"/>
      <c r="N525" s="138"/>
      <c r="O525" s="138"/>
      <c r="P525" s="138"/>
    </row>
    <row r="526">
      <c r="A526" s="138"/>
      <c r="B526" s="138"/>
      <c r="C526" s="138"/>
      <c r="D526" s="138"/>
      <c r="E526" s="138"/>
      <c r="F526" s="138"/>
      <c r="G526" s="138"/>
      <c r="H526" s="138"/>
      <c r="I526" s="138"/>
      <c r="J526" s="138"/>
      <c r="K526" s="138"/>
      <c r="L526" s="138"/>
      <c r="M526" s="138"/>
      <c r="N526" s="138"/>
      <c r="O526" s="138"/>
      <c r="P526" s="138"/>
    </row>
    <row r="527">
      <c r="A527" s="138"/>
      <c r="B527" s="138"/>
      <c r="C527" s="138"/>
      <c r="D527" s="138"/>
      <c r="E527" s="138"/>
      <c r="F527" s="138"/>
      <c r="G527" s="138"/>
      <c r="H527" s="138"/>
      <c r="I527" s="138"/>
      <c r="J527" s="138"/>
      <c r="K527" s="138"/>
      <c r="L527" s="138"/>
      <c r="M527" s="138"/>
      <c r="N527" s="138"/>
      <c r="O527" s="138"/>
      <c r="P527" s="138"/>
    </row>
    <row r="528">
      <c r="A528" s="138"/>
      <c r="B528" s="138"/>
      <c r="C528" s="138"/>
      <c r="D528" s="138"/>
      <c r="E528" s="138"/>
      <c r="F528" s="138"/>
      <c r="G528" s="138"/>
      <c r="H528" s="138"/>
      <c r="I528" s="138"/>
      <c r="J528" s="138"/>
      <c r="K528" s="138"/>
      <c r="L528" s="138"/>
      <c r="M528" s="138"/>
      <c r="N528" s="138"/>
      <c r="O528" s="138"/>
      <c r="P528" s="138"/>
    </row>
    <row r="529">
      <c r="A529" s="138"/>
      <c r="B529" s="138"/>
      <c r="C529" s="138"/>
      <c r="D529" s="138"/>
      <c r="E529" s="138"/>
      <c r="F529" s="138"/>
      <c r="G529" s="138"/>
      <c r="H529" s="138"/>
      <c r="I529" s="138"/>
      <c r="J529" s="138"/>
      <c r="K529" s="138"/>
      <c r="L529" s="138"/>
      <c r="M529" s="138"/>
      <c r="N529" s="138"/>
      <c r="O529" s="138"/>
      <c r="P529" s="138"/>
    </row>
    <row r="530">
      <c r="A530" s="138"/>
      <c r="B530" s="138"/>
      <c r="C530" s="138"/>
      <c r="D530" s="138"/>
      <c r="E530" s="138"/>
      <c r="F530" s="138"/>
      <c r="G530" s="138"/>
      <c r="H530" s="138"/>
      <c r="I530" s="138"/>
      <c r="J530" s="138"/>
      <c r="K530" s="138"/>
      <c r="L530" s="138"/>
      <c r="M530" s="138"/>
      <c r="N530" s="138"/>
      <c r="O530" s="138"/>
      <c r="P530" s="138"/>
    </row>
    <row r="531">
      <c r="A531" s="138"/>
      <c r="B531" s="138"/>
      <c r="C531" s="138"/>
      <c r="D531" s="138"/>
      <c r="E531" s="138"/>
      <c r="F531" s="138"/>
      <c r="G531" s="138"/>
      <c r="H531" s="138"/>
      <c r="I531" s="138"/>
      <c r="J531" s="138"/>
      <c r="K531" s="138"/>
      <c r="L531" s="138"/>
      <c r="M531" s="138"/>
      <c r="N531" s="138"/>
      <c r="O531" s="138"/>
      <c r="P531" s="138"/>
    </row>
    <row r="532">
      <c r="A532" s="138"/>
      <c r="B532" s="138"/>
      <c r="C532" s="138"/>
      <c r="D532" s="138"/>
      <c r="E532" s="138"/>
      <c r="F532" s="138"/>
      <c r="G532" s="138"/>
      <c r="H532" s="138"/>
      <c r="I532" s="138"/>
      <c r="J532" s="138"/>
      <c r="K532" s="138"/>
      <c r="L532" s="138"/>
      <c r="M532" s="138"/>
      <c r="N532" s="138"/>
      <c r="O532" s="138"/>
      <c r="P532" s="138"/>
    </row>
    <row r="533">
      <c r="A533" s="138"/>
      <c r="B533" s="138"/>
      <c r="C533" s="138"/>
      <c r="D533" s="138"/>
      <c r="E533" s="138"/>
      <c r="F533" s="138"/>
      <c r="G533" s="138"/>
      <c r="H533" s="138"/>
      <c r="I533" s="138"/>
      <c r="J533" s="138"/>
      <c r="K533" s="138"/>
      <c r="L533" s="138"/>
      <c r="M533" s="138"/>
      <c r="N533" s="138"/>
      <c r="O533" s="138"/>
      <c r="P533" s="138"/>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6.0"/>
    <col customWidth="1" min="3" max="3" width="37.38"/>
  </cols>
  <sheetData>
    <row r="1">
      <c r="A1" s="167" t="s">
        <v>0</v>
      </c>
      <c r="B1" s="168" t="s">
        <v>1</v>
      </c>
      <c r="C1" s="2" t="s">
        <v>2</v>
      </c>
      <c r="D1" s="167" t="s">
        <v>3</v>
      </c>
      <c r="E1" s="167" t="s">
        <v>4</v>
      </c>
      <c r="F1" s="167" t="s">
        <v>5</v>
      </c>
      <c r="G1" s="169" t="s">
        <v>6</v>
      </c>
      <c r="H1" s="167" t="s">
        <v>7</v>
      </c>
      <c r="I1" s="167" t="s">
        <v>8</v>
      </c>
      <c r="J1" s="167" t="s">
        <v>9</v>
      </c>
      <c r="K1" s="167" t="s">
        <v>10</v>
      </c>
      <c r="L1" s="167" t="s">
        <v>11</v>
      </c>
      <c r="M1" s="167" t="s">
        <v>12</v>
      </c>
      <c r="N1" s="167" t="s">
        <v>13</v>
      </c>
    </row>
    <row r="2">
      <c r="A2" s="170">
        <v>4982.0</v>
      </c>
      <c r="B2" s="168" t="s">
        <v>3712</v>
      </c>
      <c r="C2" s="167" t="str">
        <f>IFERROR(__xludf.DUMMYFUNCTION("googletranslate(B2)"),"Law on Disaster Response, Management and Preparedness")</f>
        <v>Law on Disaster Response, Management and Preparedness</v>
      </c>
      <c r="D2" s="167" t="s">
        <v>3713</v>
      </c>
      <c r="E2" s="167" t="s">
        <v>3714</v>
      </c>
      <c r="F2" s="167" t="s">
        <v>41</v>
      </c>
      <c r="G2" s="170"/>
      <c r="H2" s="170">
        <v>2012.0</v>
      </c>
      <c r="I2" s="167" t="s">
        <v>24</v>
      </c>
      <c r="J2" s="167" t="s">
        <v>3715</v>
      </c>
      <c r="K2" s="171" t="s">
        <v>3716</v>
      </c>
      <c r="L2" s="167" t="s">
        <v>3717</v>
      </c>
      <c r="M2" s="113"/>
      <c r="N2" s="167" t="s">
        <v>23</v>
      </c>
    </row>
    <row r="3">
      <c r="A3" s="170">
        <v>4982.0</v>
      </c>
      <c r="B3" s="170"/>
      <c r="C3" s="172"/>
      <c r="D3" s="167" t="s">
        <v>3713</v>
      </c>
      <c r="E3" s="167" t="s">
        <v>3714</v>
      </c>
      <c r="F3" s="167" t="s">
        <v>41</v>
      </c>
      <c r="G3" s="170"/>
      <c r="H3" s="170">
        <v>2012.0</v>
      </c>
      <c r="I3" s="167" t="s">
        <v>3718</v>
      </c>
      <c r="J3" s="167" t="s">
        <v>3719</v>
      </c>
      <c r="K3" s="171" t="s">
        <v>3720</v>
      </c>
      <c r="L3" s="167" t="s">
        <v>3717</v>
      </c>
      <c r="M3" s="167" t="s">
        <v>3721</v>
      </c>
      <c r="N3" s="167" t="s">
        <v>23</v>
      </c>
    </row>
    <row r="4">
      <c r="A4" s="173">
        <v>1014.0</v>
      </c>
      <c r="B4" s="174"/>
      <c r="C4" s="175" t="str">
        <f>IFERROR(__xludf.DUMMYFUNCTION("googletranslate(B4)"),"#VALUE!")</f>
        <v>#VALUE!</v>
      </c>
      <c r="D4" s="176" t="s">
        <v>3722</v>
      </c>
      <c r="E4" s="176" t="s">
        <v>3723</v>
      </c>
      <c r="F4" s="176" t="s">
        <v>41</v>
      </c>
      <c r="G4" s="173"/>
      <c r="H4" s="173">
        <v>1999.0</v>
      </c>
      <c r="I4" s="174"/>
      <c r="J4" s="176" t="s">
        <v>3724</v>
      </c>
      <c r="K4" s="177" t="s">
        <v>3725</v>
      </c>
      <c r="L4" s="176" t="s">
        <v>3717</v>
      </c>
      <c r="M4" s="174"/>
      <c r="N4" s="176" t="s">
        <v>2232</v>
      </c>
    </row>
    <row r="5">
      <c r="A5" s="170">
        <v>1014.0</v>
      </c>
      <c r="B5" s="168" t="s">
        <v>3726</v>
      </c>
      <c r="C5" s="167" t="str">
        <f>IFERROR(__xludf.DUMMYFUNCTION("googletranslate(B5)"),"Law No. 99-09 of July 28, 1999 relating to energy control")</f>
        <v>Law No. 99-09 of July 28, 1999 relating to energy control</v>
      </c>
      <c r="D5" s="167" t="s">
        <v>3722</v>
      </c>
      <c r="E5" s="167" t="s">
        <v>3723</v>
      </c>
      <c r="F5" s="167" t="s">
        <v>41</v>
      </c>
      <c r="G5" s="170"/>
      <c r="H5" s="170">
        <v>1999.0</v>
      </c>
      <c r="I5" s="168" t="s">
        <v>811</v>
      </c>
      <c r="J5" s="167" t="s">
        <v>3727</v>
      </c>
      <c r="K5" s="171" t="s">
        <v>3728</v>
      </c>
      <c r="L5" s="167" t="s">
        <v>3717</v>
      </c>
      <c r="M5" s="113"/>
      <c r="N5" s="167" t="s">
        <v>23</v>
      </c>
    </row>
    <row r="6">
      <c r="A6" s="170">
        <v>4902.0</v>
      </c>
      <c r="B6" s="168" t="s">
        <v>3729</v>
      </c>
      <c r="C6" s="167" t="str">
        <f>IFERROR(__xludf.DUMMYFUNCTION("googletranslate(B6)"),"Decree of 24-10-2012, which approves the conditions of purchase of the electricity generated in photovoltaic installations")</f>
        <v>Decree of 24-10-2012, which approves the conditions of purchase of the electricity generated in photovoltaic installations</v>
      </c>
      <c r="D6" s="167" t="s">
        <v>3730</v>
      </c>
      <c r="E6" s="167" t="s">
        <v>3731</v>
      </c>
      <c r="F6" s="168" t="s">
        <v>18</v>
      </c>
      <c r="G6" s="178"/>
      <c r="H6" s="178">
        <v>2012.0</v>
      </c>
      <c r="I6" s="168" t="s">
        <v>3732</v>
      </c>
      <c r="J6" s="167" t="s">
        <v>3733</v>
      </c>
      <c r="K6" s="171" t="s">
        <v>3734</v>
      </c>
      <c r="L6" s="167" t="s">
        <v>3717</v>
      </c>
      <c r="M6" s="113"/>
      <c r="N6" s="167" t="s">
        <v>23</v>
      </c>
    </row>
    <row r="7">
      <c r="A7" s="170">
        <v>4902.0</v>
      </c>
      <c r="B7" s="179" t="s">
        <v>3735</v>
      </c>
      <c r="C7" s="167" t="str">
        <f>IFERROR(__xludf.DUMMYFUNCTION("googletranslate(B7)"),"Decree of the 22-3-2017 modification of the decree of the conditions of purchase of the electricity generated in photovoltaic facilities, of October 24, 2012")</f>
        <v>Decree of the 22-3-2017 modification of the decree of the conditions of purchase of the electricity generated in photovoltaic facilities, of October 24, 2012</v>
      </c>
      <c r="D7" s="167" t="s">
        <v>3730</v>
      </c>
      <c r="E7" s="167" t="s">
        <v>3731</v>
      </c>
      <c r="F7" s="168" t="s">
        <v>18</v>
      </c>
      <c r="G7" s="178"/>
      <c r="H7" s="178">
        <v>2017.0</v>
      </c>
      <c r="I7" s="168" t="s">
        <v>3732</v>
      </c>
      <c r="J7" s="167" t="s">
        <v>3736</v>
      </c>
      <c r="K7" s="171" t="s">
        <v>3737</v>
      </c>
      <c r="L7" s="167" t="s">
        <v>3717</v>
      </c>
      <c r="M7" s="113"/>
      <c r="N7" s="167" t="s">
        <v>37</v>
      </c>
    </row>
    <row r="8">
      <c r="A8" s="170">
        <v>9792.0</v>
      </c>
      <c r="B8" s="179" t="s">
        <v>3738</v>
      </c>
      <c r="C8" s="167" t="str">
        <f>IFERROR(__xludf.DUMMYFUNCTION("googletranslate(B8)"),"Decree of 15-03-2017 approves the Regulation of Economic Grants for Electric Mobility and for the improvement of energy efficiency and safety of the National National Automobile Park")</f>
        <v>Decree of 15-03-2017 approves the Regulation of Economic Grants for Electric Mobility and for the improvement of energy efficiency and safety of the National National Automobile Park</v>
      </c>
      <c r="D8" s="167" t="s">
        <v>3730</v>
      </c>
      <c r="E8" s="167" t="s">
        <v>3731</v>
      </c>
      <c r="F8" s="168" t="s">
        <v>18</v>
      </c>
      <c r="G8" s="178"/>
      <c r="H8" s="178">
        <v>2017.0</v>
      </c>
      <c r="I8" s="168" t="s">
        <v>3732</v>
      </c>
      <c r="J8" s="167" t="s">
        <v>3739</v>
      </c>
      <c r="K8" s="171" t="s">
        <v>3740</v>
      </c>
      <c r="L8" s="167" t="s">
        <v>3717</v>
      </c>
      <c r="M8" s="113"/>
      <c r="N8" s="167" t="s">
        <v>37</v>
      </c>
    </row>
    <row r="9">
      <c r="A9" s="170">
        <v>9792.0</v>
      </c>
      <c r="B9" s="168" t="s">
        <v>3741</v>
      </c>
      <c r="C9" s="167" t="str">
        <f>IFERROR(__xludf.DUMMYFUNCTION("googletranslate(B9)"),"Decree of the 11-3-2020 modification of the Regulation of Economic Grants for Electric Mobility and for the improvement of the energy efficiency and safety of the National Automobile Park, of March 15, 2017")</f>
        <v>Decree of the 11-3-2020 modification of the Regulation of Economic Grants for Electric Mobility and for the improvement of the energy efficiency and safety of the National Automobile Park, of March 15, 2017</v>
      </c>
      <c r="D9" s="167" t="s">
        <v>3730</v>
      </c>
      <c r="E9" s="167" t="s">
        <v>3731</v>
      </c>
      <c r="F9" s="168" t="s">
        <v>18</v>
      </c>
      <c r="G9" s="178"/>
      <c r="H9" s="178">
        <v>2020.0</v>
      </c>
      <c r="I9" s="168" t="s">
        <v>3732</v>
      </c>
      <c r="J9" s="167" t="s">
        <v>3742</v>
      </c>
      <c r="K9" s="171" t="s">
        <v>3743</v>
      </c>
      <c r="L9" s="167" t="s">
        <v>3717</v>
      </c>
      <c r="M9" s="113"/>
      <c r="N9" s="167" t="s">
        <v>37</v>
      </c>
    </row>
    <row r="10">
      <c r="A10" s="170">
        <v>9792.0</v>
      </c>
      <c r="B10" s="179" t="s">
        <v>3744</v>
      </c>
      <c r="C10" s="167" t="str">
        <f>IFERROR(__xludf.DUMMYFUNCTION("googletranslate(B10)"),"Decree of 19-6-2019 of modification of the Regulation of Economic Grants for Electric Mobility and for the improvement of the energy efficiency and safety of the National Automobile Park, of March 15, 2017")</f>
        <v>Decree of 19-6-2019 of modification of the Regulation of Economic Grants for Electric Mobility and for the improvement of the energy efficiency and safety of the National Automobile Park, of March 15, 2017</v>
      </c>
      <c r="D10" s="167" t="s">
        <v>3730</v>
      </c>
      <c r="E10" s="167" t="s">
        <v>3731</v>
      </c>
      <c r="F10" s="168" t="s">
        <v>18</v>
      </c>
      <c r="G10" s="178"/>
      <c r="H10" s="178">
        <v>2019.0</v>
      </c>
      <c r="I10" s="168" t="s">
        <v>3732</v>
      </c>
      <c r="J10" s="167" t="s">
        <v>3745</v>
      </c>
      <c r="K10" s="171" t="s">
        <v>3746</v>
      </c>
      <c r="L10" s="167" t="s">
        <v>3717</v>
      </c>
      <c r="M10" s="113"/>
      <c r="N10" s="167" t="s">
        <v>37</v>
      </c>
    </row>
    <row r="11">
      <c r="A11" s="178">
        <v>9792.0</v>
      </c>
      <c r="B11" s="180" t="s">
        <v>3741</v>
      </c>
      <c r="C11" s="167" t="str">
        <f>IFERROR(__xludf.DUMMYFUNCTION("googletranslate(B11)"),"Decree of the 11-3-2020 modification of the Regulation of Economic Grants for Electric Mobility and for the improvement of the energy efficiency and safety of the National Automobile Park, of March 15, 2017")</f>
        <v>Decree of the 11-3-2020 modification of the Regulation of Economic Grants for Electric Mobility and for the improvement of the energy efficiency and safety of the National Automobile Park, of March 15, 2017</v>
      </c>
      <c r="D11" s="168" t="s">
        <v>3730</v>
      </c>
      <c r="E11" s="168" t="s">
        <v>3731</v>
      </c>
      <c r="F11" s="168" t="s">
        <v>18</v>
      </c>
      <c r="G11" s="178"/>
      <c r="H11" s="178">
        <v>2020.0</v>
      </c>
      <c r="I11" s="168" t="s">
        <v>3732</v>
      </c>
      <c r="J11" s="168" t="s">
        <v>3742</v>
      </c>
      <c r="K11" s="181" t="s">
        <v>3743</v>
      </c>
      <c r="L11" s="168" t="s">
        <v>3717</v>
      </c>
      <c r="M11" s="182"/>
      <c r="N11" s="168" t="s">
        <v>37</v>
      </c>
    </row>
    <row r="12">
      <c r="A12" s="170">
        <v>9793.0</v>
      </c>
      <c r="B12" s="168" t="s">
        <v>3747</v>
      </c>
      <c r="C12" s="183" t="s">
        <v>3748</v>
      </c>
      <c r="D12" s="167" t="s">
        <v>3730</v>
      </c>
      <c r="E12" s="167" t="s">
        <v>3731</v>
      </c>
      <c r="F12" s="168" t="s">
        <v>41</v>
      </c>
      <c r="G12" s="178"/>
      <c r="H12" s="178">
        <v>2016.0</v>
      </c>
      <c r="I12" s="168" t="s">
        <v>3732</v>
      </c>
      <c r="J12" s="167" t="s">
        <v>3749</v>
      </c>
      <c r="K12" s="171" t="s">
        <v>3750</v>
      </c>
      <c r="L12" s="167" t="s">
        <v>3717</v>
      </c>
      <c r="M12" s="113"/>
      <c r="N12" s="167" t="s">
        <v>839</v>
      </c>
    </row>
    <row r="13">
      <c r="A13" s="170">
        <v>9793.0</v>
      </c>
      <c r="B13" s="168" t="s">
        <v>3751</v>
      </c>
      <c r="C13" s="167" t="str">
        <f>IFERROR(__xludf.DUMMYFUNCTION("googletranslate(B13)"),"Law 15/2016, of October 20, of modification of Law 4/2016, of March 10, on the promotion of electric vehicles")</f>
        <v>Law 15/2016, of October 20, of modification of Law 4/2016, of March 10, on the promotion of electric vehicles</v>
      </c>
      <c r="D13" s="167" t="s">
        <v>3730</v>
      </c>
      <c r="E13" s="167" t="s">
        <v>3731</v>
      </c>
      <c r="F13" s="168" t="s">
        <v>41</v>
      </c>
      <c r="G13" s="178"/>
      <c r="H13" s="178">
        <v>2016.0</v>
      </c>
      <c r="I13" s="168" t="s">
        <v>3732</v>
      </c>
      <c r="J13" s="167" t="s">
        <v>3752</v>
      </c>
      <c r="K13" s="171" t="s">
        <v>3753</v>
      </c>
      <c r="L13" s="167" t="s">
        <v>3717</v>
      </c>
      <c r="M13" s="113"/>
      <c r="N13" s="167" t="s">
        <v>37</v>
      </c>
    </row>
    <row r="14">
      <c r="A14" s="170">
        <v>9796.0</v>
      </c>
      <c r="B14" s="168" t="s">
        <v>3754</v>
      </c>
      <c r="C14" s="167" t="str">
        <f>IFERROR(__xludf.DUMMYFUNCTION("googletranslate(B14)"),"Decree of 19-2-2020 approving the Regulations of the Program of Grants for the Improvement of the National Real Estate Park, the improvement of the energy efficiency of buildings and the use of renewable energy")</f>
        <v>Decree of 19-2-2020 approving the Regulations of the Program of Grants for the Improvement of the National Real Estate Park, the improvement of the energy efficiency of buildings and the use of renewable energy</v>
      </c>
      <c r="D14" s="167" t="s">
        <v>3730</v>
      </c>
      <c r="E14" s="167" t="s">
        <v>3731</v>
      </c>
      <c r="F14" s="168" t="s">
        <v>18</v>
      </c>
      <c r="G14" s="178"/>
      <c r="H14" s="178">
        <v>2020.0</v>
      </c>
      <c r="I14" s="168" t="s">
        <v>3732</v>
      </c>
      <c r="J14" s="167" t="s">
        <v>3755</v>
      </c>
      <c r="K14" s="171" t="s">
        <v>3756</v>
      </c>
      <c r="L14" s="167" t="s">
        <v>3717</v>
      </c>
      <c r="M14" s="113"/>
      <c r="N14" s="167" t="s">
        <v>37</v>
      </c>
    </row>
    <row r="15">
      <c r="A15" s="170">
        <v>9796.0</v>
      </c>
      <c r="B15" s="168" t="s">
        <v>3757</v>
      </c>
      <c r="C15" s="167" t="str">
        <f>IFERROR(__xludf.DUMMYFUNCTION("googletranslate(B15)"),"Edict of the 27-1-2021, which publishes the opening of the call for the grants of the Renewal Program for the improvement of the National Real Estate Park, the improvement of the energy efficiency of the buildings and the use of renewable energy for by 20"&amp;"21")</f>
        <v>Edict of the 27-1-2021, which publishes the opening of the call for the grants of the Renewal Program for the improvement of the National Real Estate Park, the improvement of the energy efficiency of the buildings and the use of renewable energy for by 2021</v>
      </c>
      <c r="D15" s="167" t="s">
        <v>3730</v>
      </c>
      <c r="E15" s="167" t="s">
        <v>3731</v>
      </c>
      <c r="F15" s="168" t="s">
        <v>3758</v>
      </c>
      <c r="G15" s="178"/>
      <c r="H15" s="178">
        <v>2021.0</v>
      </c>
      <c r="I15" s="168" t="s">
        <v>3732</v>
      </c>
      <c r="J15" s="167" t="s">
        <v>3759</v>
      </c>
      <c r="K15" s="171" t="s">
        <v>3760</v>
      </c>
      <c r="L15" s="167" t="s">
        <v>3717</v>
      </c>
      <c r="M15" s="113"/>
      <c r="N15" s="167" t="s">
        <v>37</v>
      </c>
    </row>
    <row r="16">
      <c r="A16" s="170">
        <v>8479.0</v>
      </c>
      <c r="B16" s="168" t="s">
        <v>3761</v>
      </c>
      <c r="C16" s="167" t="str">
        <f>IFERROR(__xludf.DUMMYFUNCTION("googletranslate(B16)"),"Environmental Protection and Management Act 10/2019")</f>
        <v>Environmental Protection and Management Act 10/2019</v>
      </c>
      <c r="D16" s="167" t="s">
        <v>3762</v>
      </c>
      <c r="E16" s="167" t="s">
        <v>3763</v>
      </c>
      <c r="F16" s="168" t="s">
        <v>45</v>
      </c>
      <c r="G16" s="178"/>
      <c r="H16" s="178">
        <v>2019.0</v>
      </c>
      <c r="I16" s="168" t="s">
        <v>24</v>
      </c>
      <c r="J16" s="167" t="s">
        <v>3764</v>
      </c>
      <c r="K16" s="171" t="s">
        <v>3765</v>
      </c>
      <c r="L16" s="167" t="s">
        <v>3717</v>
      </c>
      <c r="M16" s="113"/>
      <c r="N16" s="167" t="s">
        <v>23</v>
      </c>
    </row>
    <row r="17">
      <c r="A17" s="170">
        <v>8479.0</v>
      </c>
      <c r="B17" s="168" t="s">
        <v>3766</v>
      </c>
      <c r="C17" s="167" t="str">
        <f>IFERROR(__xludf.DUMMYFUNCTION("googletranslate(B17)"),"Environmental Protection and Management Act 11/2015")</f>
        <v>Environmental Protection and Management Act 11/2015</v>
      </c>
      <c r="D17" s="167" t="s">
        <v>3762</v>
      </c>
      <c r="E17" s="167" t="s">
        <v>3763</v>
      </c>
      <c r="F17" s="168" t="s">
        <v>45</v>
      </c>
      <c r="G17" s="178"/>
      <c r="H17" s="178">
        <v>2015.0</v>
      </c>
      <c r="I17" s="168" t="s">
        <v>24</v>
      </c>
      <c r="J17" s="167" t="s">
        <v>3767</v>
      </c>
      <c r="K17" s="171" t="s">
        <v>3768</v>
      </c>
      <c r="L17" s="167" t="s">
        <v>3717</v>
      </c>
      <c r="M17" s="113"/>
      <c r="N17" s="167" t="s">
        <v>23</v>
      </c>
    </row>
    <row r="18">
      <c r="A18" s="170">
        <v>8482.0</v>
      </c>
      <c r="B18" s="168" t="s">
        <v>3769</v>
      </c>
      <c r="C18" s="167" t="str">
        <f>IFERROR(__xludf.DUMMYFUNCTION("googletranslate(B18)"),"Physical Planning Act 2003")</f>
        <v>Physical Planning Act 2003</v>
      </c>
      <c r="D18" s="167" t="s">
        <v>3762</v>
      </c>
      <c r="E18" s="167" t="s">
        <v>3763</v>
      </c>
      <c r="F18" s="168" t="s">
        <v>45</v>
      </c>
      <c r="G18" s="178"/>
      <c r="H18" s="178">
        <v>2003.0</v>
      </c>
      <c r="I18" s="168" t="s">
        <v>24</v>
      </c>
      <c r="J18" s="167" t="s">
        <v>3770</v>
      </c>
      <c r="K18" s="171" t="s">
        <v>3771</v>
      </c>
      <c r="L18" s="167" t="s">
        <v>3717</v>
      </c>
      <c r="M18" s="113"/>
      <c r="N18" s="167" t="s">
        <v>23</v>
      </c>
    </row>
    <row r="19">
      <c r="A19" s="170">
        <v>8482.0</v>
      </c>
      <c r="B19" s="168" t="s">
        <v>3772</v>
      </c>
      <c r="C19" s="167" t="str">
        <f>IFERROR(__xludf.DUMMYFUNCTION("googletranslate(B19)"),"Sustainable Island Resource Management Zoning Plan")</f>
        <v>Sustainable Island Resource Management Zoning Plan</v>
      </c>
      <c r="D19" s="167" t="s">
        <v>3762</v>
      </c>
      <c r="E19" s="167" t="s">
        <v>3763</v>
      </c>
      <c r="F19" s="168" t="s">
        <v>234</v>
      </c>
      <c r="G19" s="178"/>
      <c r="H19" s="178">
        <v>2011.0</v>
      </c>
      <c r="I19" s="168" t="s">
        <v>24</v>
      </c>
      <c r="J19" s="167" t="s">
        <v>3773</v>
      </c>
      <c r="K19" s="171" t="s">
        <v>3774</v>
      </c>
      <c r="L19" s="167" t="s">
        <v>3717</v>
      </c>
      <c r="M19" s="113"/>
      <c r="N19" s="167" t="s">
        <v>23</v>
      </c>
    </row>
    <row r="20">
      <c r="A20" s="170">
        <v>8482.0</v>
      </c>
      <c r="B20" s="168" t="s">
        <v>3775</v>
      </c>
      <c r="C20" s="167" t="str">
        <f>IFERROR(__xludf.DUMMYFUNCTION("googletranslate(B20)"),"National Physical Development Plan")</f>
        <v>National Physical Development Plan</v>
      </c>
      <c r="D20" s="167" t="s">
        <v>3762</v>
      </c>
      <c r="E20" s="167" t="s">
        <v>3763</v>
      </c>
      <c r="F20" s="168" t="s">
        <v>234</v>
      </c>
      <c r="G20" s="178"/>
      <c r="H20" s="178">
        <v>2011.0</v>
      </c>
      <c r="I20" s="168" t="s">
        <v>24</v>
      </c>
      <c r="J20" s="167" t="s">
        <v>3776</v>
      </c>
      <c r="K20" s="171" t="s">
        <v>3777</v>
      </c>
      <c r="L20" s="167" t="s">
        <v>3717</v>
      </c>
      <c r="M20" s="113"/>
      <c r="N20" s="167" t="s">
        <v>37</v>
      </c>
    </row>
    <row r="21">
      <c r="A21" s="170">
        <v>8826.0</v>
      </c>
      <c r="B21" s="168" t="s">
        <v>3778</v>
      </c>
      <c r="C21" s="167" t="str">
        <f>IFERROR(__xludf.DUMMYFUNCTION("googletranslate(B21)"),"Emergency Powers (Hurricane, Earthquake, Fire or Flood) Act No. 5/57")</f>
        <v>Emergency Powers (Hurricane, Earthquake, Fire or Flood) Act No. 5/57</v>
      </c>
      <c r="D21" s="167" t="s">
        <v>3762</v>
      </c>
      <c r="E21" s="167" t="s">
        <v>3763</v>
      </c>
      <c r="F21" s="168" t="s">
        <v>45</v>
      </c>
      <c r="G21" s="178"/>
      <c r="H21" s="178">
        <v>1957.0</v>
      </c>
      <c r="I21" s="168" t="s">
        <v>24</v>
      </c>
      <c r="J21" s="167" t="s">
        <v>3779</v>
      </c>
      <c r="K21" s="171" t="s">
        <v>3780</v>
      </c>
      <c r="L21" s="167" t="s">
        <v>3717</v>
      </c>
      <c r="M21" s="113"/>
      <c r="N21" s="167" t="s">
        <v>23</v>
      </c>
    </row>
    <row r="22">
      <c r="A22" s="170">
        <v>8826.0</v>
      </c>
      <c r="B22" s="168" t="s">
        <v>3781</v>
      </c>
      <c r="C22" s="167" t="str">
        <f>IFERROR(__xludf.DUMMYFUNCTION("googletranslate(B22)"),"Disaster Management Act No. 13/02")</f>
        <v>Disaster Management Act No. 13/02</v>
      </c>
      <c r="D22" s="167" t="s">
        <v>3762</v>
      </c>
      <c r="E22" s="167" t="s">
        <v>3763</v>
      </c>
      <c r="F22" s="168" t="s">
        <v>45</v>
      </c>
      <c r="G22" s="178"/>
      <c r="H22" s="178">
        <v>2002.0</v>
      </c>
      <c r="I22" s="168" t="s">
        <v>24</v>
      </c>
      <c r="J22" s="167" t="s">
        <v>3782</v>
      </c>
      <c r="K22" s="171" t="s">
        <v>3783</v>
      </c>
      <c r="L22" s="167" t="s">
        <v>3717</v>
      </c>
      <c r="M22" s="113"/>
      <c r="N22" s="167" t="s">
        <v>23</v>
      </c>
    </row>
    <row r="23">
      <c r="A23" s="170">
        <v>2007.0</v>
      </c>
      <c r="B23" s="168" t="s">
        <v>3784</v>
      </c>
      <c r="C23" s="184" t="s">
        <v>3785</v>
      </c>
      <c r="D23" s="167" t="s">
        <v>3786</v>
      </c>
      <c r="E23" s="167" t="s">
        <v>3787</v>
      </c>
      <c r="F23" s="168" t="s">
        <v>41</v>
      </c>
      <c r="G23" s="178"/>
      <c r="H23" s="178">
        <v>2006.0</v>
      </c>
      <c r="I23" s="168" t="s">
        <v>924</v>
      </c>
      <c r="J23" s="167" t="s">
        <v>3788</v>
      </c>
      <c r="K23" s="171" t="s">
        <v>3789</v>
      </c>
      <c r="L23" s="167" t="s">
        <v>3717</v>
      </c>
      <c r="M23" s="113"/>
      <c r="N23" s="167" t="s">
        <v>23</v>
      </c>
    </row>
    <row r="24">
      <c r="A24" s="170">
        <v>2007.0</v>
      </c>
      <c r="B24" s="180" t="s">
        <v>3790</v>
      </c>
      <c r="C24" s="184" t="s">
        <v>3785</v>
      </c>
      <c r="D24" s="167" t="s">
        <v>3786</v>
      </c>
      <c r="E24" s="167" t="s">
        <v>3787</v>
      </c>
      <c r="F24" s="167" t="s">
        <v>41</v>
      </c>
      <c r="G24" s="170"/>
      <c r="H24" s="170">
        <v>2006.0</v>
      </c>
      <c r="I24" s="167" t="s">
        <v>924</v>
      </c>
      <c r="J24" s="167" t="s">
        <v>3791</v>
      </c>
      <c r="K24" s="171" t="s">
        <v>3792</v>
      </c>
      <c r="L24" s="167" t="s">
        <v>3717</v>
      </c>
      <c r="M24" s="113"/>
      <c r="N24" s="167" t="s">
        <v>23</v>
      </c>
    </row>
    <row r="25">
      <c r="A25" s="170">
        <v>2007.0</v>
      </c>
      <c r="B25" s="168" t="s">
        <v>3793</v>
      </c>
      <c r="C25" s="167" t="str">
        <f>IFERROR(__xludf.DUMMYFUNCTION("googletranslate(B25)"),"Regulatory Decree 531/2016")</f>
        <v>Regulatory Decree 531/2016</v>
      </c>
      <c r="D25" s="167" t="s">
        <v>3786</v>
      </c>
      <c r="E25" s="167" t="s">
        <v>3787</v>
      </c>
      <c r="F25" s="168" t="s">
        <v>18</v>
      </c>
      <c r="G25" s="178"/>
      <c r="H25" s="178">
        <v>2016.0</v>
      </c>
      <c r="I25" s="168" t="s">
        <v>924</v>
      </c>
      <c r="J25" s="167" t="s">
        <v>3794</v>
      </c>
      <c r="K25" s="171" t="s">
        <v>3795</v>
      </c>
      <c r="L25" s="167" t="s">
        <v>3717</v>
      </c>
      <c r="M25" s="113"/>
      <c r="N25" s="167" t="s">
        <v>92</v>
      </c>
    </row>
    <row r="26">
      <c r="A26" s="170">
        <v>2008.0</v>
      </c>
      <c r="B26" s="167" t="s">
        <v>3796</v>
      </c>
      <c r="C26" s="167" t="str">
        <f>IFERROR(__xludf.DUMMYFUNCTION("googletranslate(B26)"),"Law 27191")</f>
        <v>Law 27191</v>
      </c>
      <c r="D26" s="167" t="s">
        <v>3786</v>
      </c>
      <c r="E26" s="167" t="s">
        <v>3787</v>
      </c>
      <c r="F26" s="167" t="s">
        <v>41</v>
      </c>
      <c r="G26" s="170"/>
      <c r="H26" s="170">
        <v>2015.0</v>
      </c>
      <c r="I26" s="167" t="s">
        <v>924</v>
      </c>
      <c r="J26" s="167" t="s">
        <v>3797</v>
      </c>
      <c r="K26" s="171" t="s">
        <v>3798</v>
      </c>
      <c r="L26" s="167" t="s">
        <v>3717</v>
      </c>
      <c r="M26" s="113"/>
      <c r="N26" s="167" t="s">
        <v>23</v>
      </c>
    </row>
    <row r="27">
      <c r="A27" s="170">
        <v>2008.0</v>
      </c>
      <c r="B27" s="167" t="s">
        <v>3796</v>
      </c>
      <c r="C27" s="167" t="str">
        <f>IFERROR(__xludf.DUMMYFUNCTION("googletranslate(B27)"),"Law 27191")</f>
        <v>Law 27191</v>
      </c>
      <c r="D27" s="167" t="s">
        <v>3786</v>
      </c>
      <c r="E27" s="167" t="s">
        <v>3787</v>
      </c>
      <c r="F27" s="167" t="s">
        <v>41</v>
      </c>
      <c r="G27" s="170"/>
      <c r="H27" s="170">
        <v>2015.0</v>
      </c>
      <c r="I27" s="167" t="s">
        <v>924</v>
      </c>
      <c r="J27" s="167" t="s">
        <v>3799</v>
      </c>
      <c r="K27" s="171" t="s">
        <v>3800</v>
      </c>
      <c r="L27" s="167" t="s">
        <v>3717</v>
      </c>
      <c r="M27" s="113"/>
      <c r="N27" s="167" t="s">
        <v>23</v>
      </c>
    </row>
    <row r="28">
      <c r="A28" s="170">
        <v>9197.0</v>
      </c>
      <c r="B28" s="168" t="s">
        <v>3801</v>
      </c>
      <c r="C28" s="167" t="str">
        <f>IFERROR(__xludf.DUMMYFUNCTION("googletranslate(B28)"),"Decree 476/2019")</f>
        <v>Decree 476/2019</v>
      </c>
      <c r="D28" s="167" t="s">
        <v>3786</v>
      </c>
      <c r="E28" s="167" t="s">
        <v>3787</v>
      </c>
      <c r="F28" s="167" t="s">
        <v>18</v>
      </c>
      <c r="G28" s="170"/>
      <c r="H28" s="170">
        <v>2019.0</v>
      </c>
      <c r="I28" s="167" t="s">
        <v>924</v>
      </c>
      <c r="J28" s="167" t="s">
        <v>3802</v>
      </c>
      <c r="K28" s="171" t="s">
        <v>3803</v>
      </c>
      <c r="L28" s="167" t="s">
        <v>3717</v>
      </c>
      <c r="M28" s="113"/>
      <c r="N28" s="167" t="s">
        <v>37</v>
      </c>
    </row>
    <row r="29">
      <c r="A29" s="170">
        <v>9197.0</v>
      </c>
      <c r="B29" s="168" t="s">
        <v>3804</v>
      </c>
      <c r="C29" s="167" t="str">
        <f>IFERROR(__xludf.DUMMYFUNCTION("googletranslate(B29)"),"Decree 548/2019")</f>
        <v>Decree 548/2019</v>
      </c>
      <c r="D29" s="167" t="s">
        <v>3786</v>
      </c>
      <c r="E29" s="167" t="s">
        <v>3787</v>
      </c>
      <c r="F29" s="167" t="s">
        <v>18</v>
      </c>
      <c r="G29" s="170"/>
      <c r="H29" s="170">
        <v>2019.0</v>
      </c>
      <c r="I29" s="167" t="s">
        <v>924</v>
      </c>
      <c r="J29" s="167" t="s">
        <v>3805</v>
      </c>
      <c r="K29" s="171" t="s">
        <v>3806</v>
      </c>
      <c r="L29" s="167" t="s">
        <v>3717</v>
      </c>
      <c r="M29" s="113"/>
      <c r="N29" s="167" t="s">
        <v>37</v>
      </c>
    </row>
    <row r="30">
      <c r="A30" s="170">
        <v>8461.0</v>
      </c>
      <c r="B30" s="168" t="s">
        <v>3807</v>
      </c>
      <c r="C30" s="167" t="str">
        <f>IFERROR(__xludf.DUMMYFUNCTION("googletranslate(B30)"),"Armenia Development Strategy for 2014-2025")</f>
        <v>Armenia Development Strategy for 2014-2025</v>
      </c>
      <c r="D30" s="167" t="s">
        <v>3808</v>
      </c>
      <c r="E30" s="167" t="s">
        <v>3809</v>
      </c>
      <c r="F30" s="167" t="s">
        <v>144</v>
      </c>
      <c r="G30" s="170"/>
      <c r="H30" s="170">
        <v>2014.0</v>
      </c>
      <c r="I30" s="167" t="s">
        <v>24</v>
      </c>
      <c r="J30" s="167" t="s">
        <v>3810</v>
      </c>
      <c r="K30" s="171" t="s">
        <v>3811</v>
      </c>
      <c r="L30" s="167" t="s">
        <v>3717</v>
      </c>
      <c r="M30" s="113"/>
      <c r="N30" s="167" t="s">
        <v>23</v>
      </c>
    </row>
    <row r="31">
      <c r="A31" s="170">
        <v>8461.0</v>
      </c>
      <c r="B31" s="168" t="s">
        <v>3812</v>
      </c>
      <c r="C31" s="172" t="s">
        <v>3807</v>
      </c>
      <c r="D31" s="167" t="s">
        <v>3808</v>
      </c>
      <c r="E31" s="167" t="s">
        <v>3809</v>
      </c>
      <c r="F31" s="167" t="s">
        <v>144</v>
      </c>
      <c r="G31" s="170"/>
      <c r="H31" s="170">
        <v>2014.0</v>
      </c>
      <c r="I31" s="167" t="s">
        <v>3813</v>
      </c>
      <c r="J31" s="167" t="s">
        <v>3814</v>
      </c>
      <c r="K31" s="171" t="s">
        <v>3815</v>
      </c>
      <c r="L31" s="167" t="s">
        <v>3717</v>
      </c>
      <c r="M31" s="113"/>
      <c r="N31" s="167" t="s">
        <v>23</v>
      </c>
    </row>
    <row r="32">
      <c r="A32" s="170">
        <v>10193.0</v>
      </c>
      <c r="B32" s="168" t="s">
        <v>3816</v>
      </c>
      <c r="C32" s="167" t="str">
        <f>IFERROR(__xludf.DUMMYFUNCTION("googletranslate(B32)"),"Summary of the Strategy of the Main Directions Ensuring Economic Development in Agricultural Sector of the Republic of Armenia for 2020-2030")</f>
        <v>Summary of the Strategy of the Main Directions Ensuring Economic Development in Agricultural Sector of the Republic of Armenia for 2020-2030</v>
      </c>
      <c r="D32" s="167" t="s">
        <v>3808</v>
      </c>
      <c r="E32" s="167" t="s">
        <v>3809</v>
      </c>
      <c r="F32" s="167" t="s">
        <v>144</v>
      </c>
      <c r="G32" s="185"/>
      <c r="H32" s="185">
        <v>2019.0</v>
      </c>
      <c r="I32" s="167" t="s">
        <v>24</v>
      </c>
      <c r="J32" s="167" t="s">
        <v>3817</v>
      </c>
      <c r="K32" s="171" t="s">
        <v>3818</v>
      </c>
      <c r="L32" s="167" t="s">
        <v>3717</v>
      </c>
      <c r="M32" s="113"/>
      <c r="N32" s="167" t="s">
        <v>37</v>
      </c>
    </row>
    <row r="33">
      <c r="A33" s="170">
        <v>10193.0</v>
      </c>
      <c r="B33" s="168" t="s">
        <v>3819</v>
      </c>
      <c r="C33" s="167" t="str">
        <f>IFERROR(__xludf.DUMMYFUNCTION("googletranslate(B33)"),"Action Plan 2020-2022 for the Implementation of the Strategy of the Main Directions Ensuring Economic Development in Agricultural Sector of the Republic of Armenia for 2020-2030")</f>
        <v>Action Plan 2020-2022 for the Implementation of the Strategy of the Main Directions Ensuring Economic Development in Agricultural Sector of the Republic of Armenia for 2020-2030</v>
      </c>
      <c r="D33" s="167" t="s">
        <v>3808</v>
      </c>
      <c r="E33" s="167" t="s">
        <v>3809</v>
      </c>
      <c r="F33" s="167" t="s">
        <v>3820</v>
      </c>
      <c r="G33" s="185"/>
      <c r="H33" s="185">
        <v>2019.0</v>
      </c>
      <c r="I33" s="167" t="s">
        <v>24</v>
      </c>
      <c r="J33" s="167" t="s">
        <v>3821</v>
      </c>
      <c r="K33" s="171" t="s">
        <v>3822</v>
      </c>
      <c r="L33" s="167" t="s">
        <v>3717</v>
      </c>
      <c r="M33" s="113"/>
      <c r="N33" s="167" t="s">
        <v>37</v>
      </c>
    </row>
    <row r="34">
      <c r="A34" s="170">
        <v>10519.0</v>
      </c>
      <c r="B34" s="168" t="s">
        <v>3823</v>
      </c>
      <c r="C34" s="167" t="str">
        <f>IFERROR(__xludf.DUMMYFUNCTION("googletranslate(B34)"),"Decree No 955-A on Approving the Composition and Rules of Procedure of the Inter-Agency Coordinating Council on Implementation of Requirements and Provisions of the UN Framework Convention on Climate Change")</f>
        <v>Decree No 955-A on Approving the Composition and Rules of Procedure of the Inter-Agency Coordinating Council on Implementation of Requirements and Provisions of the UN Framework Convention on Climate Change</v>
      </c>
      <c r="D34" s="167" t="s">
        <v>3808</v>
      </c>
      <c r="E34" s="167" t="s">
        <v>3809</v>
      </c>
      <c r="F34" s="167" t="s">
        <v>18</v>
      </c>
      <c r="G34" s="170"/>
      <c r="H34" s="170">
        <v>2012.0</v>
      </c>
      <c r="I34" s="167" t="s">
        <v>24</v>
      </c>
      <c r="J34" s="167" t="s">
        <v>3824</v>
      </c>
      <c r="K34" s="171" t="s">
        <v>3825</v>
      </c>
      <c r="L34" s="167" t="s">
        <v>3717</v>
      </c>
      <c r="M34" s="113"/>
      <c r="N34" s="167" t="s">
        <v>23</v>
      </c>
    </row>
    <row r="35">
      <c r="A35" s="170">
        <v>10519.0</v>
      </c>
      <c r="B35" s="168" t="s">
        <v>3826</v>
      </c>
      <c r="C35" s="167" t="str">
        <f>IFERROR(__xludf.DUMMYFUNCTION("googletranslate(B35)"),"Decree N719-A on Establishing an Inter-Agency Coordinating Council on Implementation of Requirements and Provisions of the United Nations Framework Convention on Climate Change and the Paris Agreement, Approving its Composition and Rules of Procedure, and"&amp;" on Invalidating Decree N955-A of the Prime Minister of the Republic of Armenia dated October 2, 2012")</f>
        <v>Decree N719-A on Establishing an Inter-Agency Coordinating Council on Implementation of Requirements and Provisions of the United Nations Framework Convention on Climate Change and the Paris Agreement, Approving its Composition and Rules of Procedure, and on Invalidating Decree N955-A of the Prime Minister of the Republic of Armenia dated October 2, 2012</v>
      </c>
      <c r="D35" s="167" t="s">
        <v>3808</v>
      </c>
      <c r="E35" s="167" t="s">
        <v>3809</v>
      </c>
      <c r="F35" s="167" t="s">
        <v>18</v>
      </c>
      <c r="G35" s="170"/>
      <c r="H35" s="170">
        <v>2021.0</v>
      </c>
      <c r="I35" s="167" t="s">
        <v>24</v>
      </c>
      <c r="J35" s="167" t="s">
        <v>3827</v>
      </c>
      <c r="K35" s="171" t="s">
        <v>3828</v>
      </c>
      <c r="L35" s="167" t="s">
        <v>3717</v>
      </c>
      <c r="M35" s="113"/>
      <c r="N35" s="186" t="s">
        <v>48</v>
      </c>
    </row>
    <row r="36">
      <c r="A36" s="170">
        <v>1034.0</v>
      </c>
      <c r="B36" s="168" t="s">
        <v>3829</v>
      </c>
      <c r="C36" s="167" t="str">
        <f>IFERROR(__xludf.DUMMYFUNCTION("googletranslate(B36)"),"Australian National Registry of Emissions Units Act 2011")</f>
        <v>Australian National Registry of Emissions Units Act 2011</v>
      </c>
      <c r="D36" s="167" t="s">
        <v>3830</v>
      </c>
      <c r="E36" s="167" t="s">
        <v>3831</v>
      </c>
      <c r="F36" s="167" t="s">
        <v>45</v>
      </c>
      <c r="G36" s="170"/>
      <c r="H36" s="170">
        <v>2011.0</v>
      </c>
      <c r="I36" s="167" t="s">
        <v>24</v>
      </c>
      <c r="J36" s="167" t="s">
        <v>3832</v>
      </c>
      <c r="K36" s="171" t="s">
        <v>3833</v>
      </c>
      <c r="L36" s="167" t="s">
        <v>3717</v>
      </c>
      <c r="M36" s="113"/>
      <c r="N36" s="167" t="s">
        <v>92</v>
      </c>
    </row>
    <row r="37">
      <c r="A37" s="173">
        <v>1034.0</v>
      </c>
      <c r="B37" s="176" t="s">
        <v>3834</v>
      </c>
      <c r="C37" s="176" t="str">
        <f>IFERROR(__xludf.DUMMYFUNCTION("googletranslate(B37)"),"Emissions Reduction Fund")</f>
        <v>Emissions Reduction Fund</v>
      </c>
      <c r="D37" s="176" t="s">
        <v>3830</v>
      </c>
      <c r="E37" s="176" t="s">
        <v>3831</v>
      </c>
      <c r="F37" s="187" t="s">
        <v>850</v>
      </c>
      <c r="G37" s="174"/>
      <c r="H37" s="174"/>
      <c r="I37" s="176" t="s">
        <v>24</v>
      </c>
      <c r="J37" s="176" t="s">
        <v>3835</v>
      </c>
      <c r="K37" s="177" t="s">
        <v>3836</v>
      </c>
      <c r="L37" s="176" t="s">
        <v>3717</v>
      </c>
      <c r="M37" s="174"/>
      <c r="N37" s="176" t="s">
        <v>92</v>
      </c>
    </row>
    <row r="38">
      <c r="A38" s="170">
        <v>8779.0</v>
      </c>
      <c r="B38" s="168" t="s">
        <v>3837</v>
      </c>
      <c r="C38" s="167" t="str">
        <f>IFERROR(__xludf.DUMMYFUNCTION("googletranslate(B38)"),"Reef 2050 Long-Term Sustainability Plan")</f>
        <v>Reef 2050 Long-Term Sustainability Plan</v>
      </c>
      <c r="D38" s="167" t="s">
        <v>3830</v>
      </c>
      <c r="E38" s="167" t="s">
        <v>3831</v>
      </c>
      <c r="F38" s="167" t="s">
        <v>234</v>
      </c>
      <c r="G38" s="170"/>
      <c r="H38" s="170">
        <v>2015.0</v>
      </c>
      <c r="I38" s="167" t="s">
        <v>24</v>
      </c>
      <c r="J38" s="167" t="s">
        <v>3838</v>
      </c>
      <c r="K38" s="171" t="s">
        <v>3839</v>
      </c>
      <c r="L38" s="167" t="s">
        <v>3717</v>
      </c>
      <c r="M38" s="113"/>
      <c r="N38" s="167" t="s">
        <v>23</v>
      </c>
    </row>
    <row r="39">
      <c r="A39" s="170">
        <v>8779.0</v>
      </c>
      <c r="B39" s="180" t="s">
        <v>3837</v>
      </c>
      <c r="C39" s="167" t="str">
        <f>IFERROR(__xludf.DUMMYFUNCTION("googletranslate(B39)"),"Reef 2050 Long-Term Sustainability Plan")</f>
        <v>Reef 2050 Long-Term Sustainability Plan</v>
      </c>
      <c r="D39" s="167" t="s">
        <v>3830</v>
      </c>
      <c r="E39" s="167" t="s">
        <v>3831</v>
      </c>
      <c r="F39" s="167" t="s">
        <v>234</v>
      </c>
      <c r="G39" s="170"/>
      <c r="H39" s="170">
        <v>2018.0</v>
      </c>
      <c r="I39" s="167" t="s">
        <v>24</v>
      </c>
      <c r="J39" s="167" t="s">
        <v>3840</v>
      </c>
      <c r="K39" s="171" t="s">
        <v>3841</v>
      </c>
      <c r="L39" s="167" t="s">
        <v>3717</v>
      </c>
      <c r="M39" s="113"/>
      <c r="N39" s="167" t="s">
        <v>23</v>
      </c>
    </row>
    <row r="40">
      <c r="A40" s="170">
        <v>9764.0</v>
      </c>
      <c r="B40" s="167" t="s">
        <v>3842</v>
      </c>
      <c r="C40" s="167" t="str">
        <f>IFERROR(__xludf.DUMMYFUNCTION("googletranslate(B40)"),"Australia's National Hydrogen Strategy")</f>
        <v>Australia's National Hydrogen Strategy</v>
      </c>
      <c r="D40" s="167" t="s">
        <v>3830</v>
      </c>
      <c r="E40" s="167" t="s">
        <v>3831</v>
      </c>
      <c r="F40" s="167" t="s">
        <v>144</v>
      </c>
      <c r="G40" s="170"/>
      <c r="H40" s="170">
        <v>2019.0</v>
      </c>
      <c r="I40" s="167" t="s">
        <v>24</v>
      </c>
      <c r="J40" s="167" t="s">
        <v>3843</v>
      </c>
      <c r="K40" s="171" t="s">
        <v>3844</v>
      </c>
      <c r="L40" s="167" t="s">
        <v>3717</v>
      </c>
      <c r="M40" s="113"/>
      <c r="N40" s="167" t="s">
        <v>92</v>
      </c>
    </row>
    <row r="41">
      <c r="A41" s="170">
        <v>9764.0</v>
      </c>
      <c r="B41" s="167" t="s">
        <v>3842</v>
      </c>
      <c r="C41" s="167" t="str">
        <f>IFERROR(__xludf.DUMMYFUNCTION("googletranslate(B41)"),"Australia's National Hydrogen Strategy")</f>
        <v>Australia's National Hydrogen Strategy</v>
      </c>
      <c r="D41" s="167" t="s">
        <v>3830</v>
      </c>
      <c r="E41" s="167" t="s">
        <v>3831</v>
      </c>
      <c r="F41" s="167" t="s">
        <v>144</v>
      </c>
      <c r="G41" s="170"/>
      <c r="H41" s="170">
        <v>2019.0</v>
      </c>
      <c r="I41" s="167" t="s">
        <v>24</v>
      </c>
      <c r="J41" s="167" t="s">
        <v>3845</v>
      </c>
      <c r="K41" s="171" t="s">
        <v>3846</v>
      </c>
      <c r="L41" s="167" t="s">
        <v>3717</v>
      </c>
      <c r="M41" s="113"/>
      <c r="N41" s="167" t="s">
        <v>23</v>
      </c>
    </row>
    <row r="42">
      <c r="A42" s="170">
        <v>10328.0</v>
      </c>
      <c r="B42" s="167" t="s">
        <v>3847</v>
      </c>
      <c r="C42" s="167" t="str">
        <f>IFERROR(__xludf.DUMMYFUNCTION("googletranslate(B42)"),"Australia's Long-Term Emissions Reduction Plan")</f>
        <v>Australia's Long-Term Emissions Reduction Plan</v>
      </c>
      <c r="D42" s="167" t="s">
        <v>3830</v>
      </c>
      <c r="E42" s="167" t="s">
        <v>3831</v>
      </c>
      <c r="F42" s="167" t="s">
        <v>234</v>
      </c>
      <c r="G42" s="170"/>
      <c r="H42" s="170">
        <v>2021.0</v>
      </c>
      <c r="I42" s="167" t="s">
        <v>24</v>
      </c>
      <c r="J42" s="167" t="s">
        <v>3848</v>
      </c>
      <c r="K42" s="171" t="s">
        <v>3849</v>
      </c>
      <c r="L42" s="167" t="s">
        <v>3717</v>
      </c>
      <c r="M42" s="113"/>
      <c r="N42" s="167" t="s">
        <v>23</v>
      </c>
    </row>
    <row r="43">
      <c r="A43" s="170">
        <v>10328.0</v>
      </c>
      <c r="B43" s="168" t="s">
        <v>3850</v>
      </c>
      <c r="C43" s="167" t="str">
        <f>IFERROR(__xludf.DUMMYFUNCTION("googletranslate(B43)"),"The Plan to Deliver Net Zero the Australian Way")</f>
        <v>The Plan to Deliver Net Zero the Australian Way</v>
      </c>
      <c r="D43" s="167" t="s">
        <v>3830</v>
      </c>
      <c r="E43" s="167" t="s">
        <v>3831</v>
      </c>
      <c r="F43" s="167" t="s">
        <v>234</v>
      </c>
      <c r="G43" s="170"/>
      <c r="H43" s="170">
        <v>2021.0</v>
      </c>
      <c r="I43" s="167" t="s">
        <v>24</v>
      </c>
      <c r="J43" s="167" t="s">
        <v>3851</v>
      </c>
      <c r="K43" s="171" t="s">
        <v>3852</v>
      </c>
      <c r="L43" s="167" t="s">
        <v>3717</v>
      </c>
      <c r="M43" s="113"/>
      <c r="N43" s="167" t="s">
        <v>23</v>
      </c>
    </row>
    <row r="44">
      <c r="A44" s="170">
        <v>10333.0</v>
      </c>
      <c r="B44" s="168" t="s">
        <v>3853</v>
      </c>
      <c r="C44" s="167" t="str">
        <f>IFERROR(__xludf.DUMMYFUNCTION("googletranslate(B44)"),"Technology Investment Roadmap")</f>
        <v>Technology Investment Roadmap</v>
      </c>
      <c r="D44" s="167" t="s">
        <v>3830</v>
      </c>
      <c r="E44" s="167" t="s">
        <v>3831</v>
      </c>
      <c r="F44" s="167" t="s">
        <v>2329</v>
      </c>
      <c r="G44" s="169"/>
      <c r="H44" s="169">
        <v>2020.0</v>
      </c>
      <c r="I44" s="167" t="s">
        <v>24</v>
      </c>
      <c r="J44" s="167" t="s">
        <v>3854</v>
      </c>
      <c r="K44" s="171" t="s">
        <v>3855</v>
      </c>
      <c r="L44" s="167" t="s">
        <v>3717</v>
      </c>
      <c r="M44" s="113"/>
      <c r="N44" s="167" t="s">
        <v>92</v>
      </c>
    </row>
    <row r="45">
      <c r="A45" s="170">
        <v>10333.0</v>
      </c>
      <c r="B45" s="168" t="s">
        <v>3856</v>
      </c>
      <c r="C45" s="167" t="str">
        <f>IFERROR(__xludf.DUMMYFUNCTION("googletranslate(B45)"),"Low Emissions Technology Statement 2021")</f>
        <v>Low Emissions Technology Statement 2021</v>
      </c>
      <c r="D45" s="167" t="s">
        <v>3830</v>
      </c>
      <c r="E45" s="167" t="s">
        <v>3831</v>
      </c>
      <c r="F45" s="188" t="s">
        <v>903</v>
      </c>
      <c r="G45" s="170"/>
      <c r="H45" s="170">
        <v>2021.0</v>
      </c>
      <c r="I45" s="167" t="s">
        <v>24</v>
      </c>
      <c r="J45" s="167" t="s">
        <v>3857</v>
      </c>
      <c r="K45" s="171" t="s">
        <v>3858</v>
      </c>
      <c r="L45" s="167" t="s">
        <v>3717</v>
      </c>
      <c r="M45" s="113"/>
      <c r="N45" s="167" t="s">
        <v>23</v>
      </c>
    </row>
    <row r="46">
      <c r="A46" s="170">
        <v>10333.0</v>
      </c>
      <c r="B46" s="168" t="s">
        <v>3859</v>
      </c>
      <c r="C46" s="167" t="str">
        <f>IFERROR(__xludf.DUMMYFUNCTION("googletranslate(B46)"),"First Low Emissions Technology Statement - 2020")</f>
        <v>First Low Emissions Technology Statement - 2020</v>
      </c>
      <c r="D46" s="167" t="s">
        <v>3830</v>
      </c>
      <c r="E46" s="167" t="s">
        <v>3831</v>
      </c>
      <c r="F46" s="188" t="s">
        <v>903</v>
      </c>
      <c r="G46" s="170"/>
      <c r="H46" s="170">
        <v>2020.0</v>
      </c>
      <c r="I46" s="167" t="s">
        <v>24</v>
      </c>
      <c r="J46" s="167" t="s">
        <v>3860</v>
      </c>
      <c r="K46" s="171" t="s">
        <v>3861</v>
      </c>
      <c r="L46" s="167" t="s">
        <v>3717</v>
      </c>
      <c r="M46" s="113"/>
      <c r="N46" s="167" t="s">
        <v>23</v>
      </c>
    </row>
    <row r="47">
      <c r="A47" s="170">
        <v>1042.0</v>
      </c>
      <c r="B47" s="168" t="s">
        <v>3862</v>
      </c>
      <c r="C47" s="167" t="str">
        <f>IFERROR(__xludf.DUMMYFUNCTION("googletranslate(B47)"),"Federal law consolidated: entire legal regulation for the climate protection law")</f>
        <v>Federal law consolidated: entire legal regulation for the climate protection law</v>
      </c>
      <c r="D47" s="167" t="s">
        <v>3863</v>
      </c>
      <c r="E47" s="167" t="s">
        <v>3864</v>
      </c>
      <c r="F47" s="167" t="s">
        <v>45</v>
      </c>
      <c r="G47" s="185"/>
      <c r="H47" s="185">
        <v>2011.0</v>
      </c>
      <c r="I47" s="167" t="s">
        <v>1470</v>
      </c>
      <c r="J47" s="171" t="s">
        <v>3865</v>
      </c>
      <c r="K47" s="171" t="s">
        <v>3866</v>
      </c>
      <c r="L47" s="167" t="s">
        <v>3717</v>
      </c>
      <c r="M47" s="113"/>
      <c r="N47" s="167" t="s">
        <v>92</v>
      </c>
    </row>
    <row r="48">
      <c r="A48" s="170">
        <v>1042.0</v>
      </c>
      <c r="B48" s="189" t="s">
        <v>3867</v>
      </c>
      <c r="C48" s="167" t="str">
        <f>IFERROR(__xludf.DUMMYFUNCTION("googletranslate(B48)"),"Federal Act: Administrative Reform Act BMLFUW")</f>
        <v>Federal Act: Administrative Reform Act BMLFUW</v>
      </c>
      <c r="D48" s="167" t="s">
        <v>3863</v>
      </c>
      <c r="E48" s="167" t="s">
        <v>3864</v>
      </c>
      <c r="F48" s="167" t="s">
        <v>45</v>
      </c>
      <c r="G48" s="170"/>
      <c r="H48" s="170">
        <v>2017.0</v>
      </c>
      <c r="I48" s="167" t="s">
        <v>1470</v>
      </c>
      <c r="J48" s="167" t="s">
        <v>3868</v>
      </c>
      <c r="K48" s="171" t="s">
        <v>3869</v>
      </c>
      <c r="L48" s="167" t="s">
        <v>3717</v>
      </c>
      <c r="M48" s="113"/>
      <c r="N48" s="167" t="s">
        <v>229</v>
      </c>
    </row>
    <row r="49">
      <c r="A49" s="170">
        <v>9493.0</v>
      </c>
      <c r="B49" s="167" t="s">
        <v>3870</v>
      </c>
      <c r="C49" s="167" t="str">
        <f>IFERROR(__xludf.DUMMYFUNCTION("googletranslate(B49)"),"Integrated National Energy and Climate Plan for Austria")</f>
        <v>Integrated National Energy and Climate Plan for Austria</v>
      </c>
      <c r="D49" s="167" t="s">
        <v>3863</v>
      </c>
      <c r="E49" s="167" t="s">
        <v>3864</v>
      </c>
      <c r="F49" s="167" t="s">
        <v>234</v>
      </c>
      <c r="G49" s="170"/>
      <c r="H49" s="170">
        <v>2019.0</v>
      </c>
      <c r="I49" s="167" t="s">
        <v>24</v>
      </c>
      <c r="J49" s="167" t="s">
        <v>3871</v>
      </c>
      <c r="K49" s="171" t="s">
        <v>3872</v>
      </c>
      <c r="L49" s="167" t="s">
        <v>3717</v>
      </c>
      <c r="M49" s="113"/>
      <c r="N49" s="167" t="s">
        <v>23</v>
      </c>
    </row>
    <row r="50">
      <c r="A50" s="170">
        <v>9493.0</v>
      </c>
      <c r="B50" s="167" t="s">
        <v>3873</v>
      </c>
      <c r="C50" s="172" t="s">
        <v>3870</v>
      </c>
      <c r="D50" s="167" t="s">
        <v>3863</v>
      </c>
      <c r="E50" s="167" t="s">
        <v>3864</v>
      </c>
      <c r="F50" s="167" t="s">
        <v>234</v>
      </c>
      <c r="G50" s="170"/>
      <c r="H50" s="170">
        <v>2019.0</v>
      </c>
      <c r="I50" s="167" t="s">
        <v>1470</v>
      </c>
      <c r="J50" s="167" t="s">
        <v>3874</v>
      </c>
      <c r="K50" s="171" t="s">
        <v>3875</v>
      </c>
      <c r="L50" s="167" t="s">
        <v>3717</v>
      </c>
      <c r="M50" s="113"/>
      <c r="N50" s="167" t="s">
        <v>23</v>
      </c>
    </row>
    <row r="51">
      <c r="A51" s="170">
        <v>9522.0</v>
      </c>
      <c r="B51" s="167" t="s">
        <v>3876</v>
      </c>
      <c r="C51" s="167" t="str">
        <f>IFERROR(__xludf.DUMMYFUNCTION("googletranslate(B51)"),"Tax Reform Act 2020")</f>
        <v>Tax Reform Act 2020</v>
      </c>
      <c r="D51" s="167" t="s">
        <v>3863</v>
      </c>
      <c r="E51" s="167" t="s">
        <v>3864</v>
      </c>
      <c r="F51" s="167" t="s">
        <v>45</v>
      </c>
      <c r="G51" s="170"/>
      <c r="H51" s="170">
        <v>2020.0</v>
      </c>
      <c r="I51" s="167" t="s">
        <v>1470</v>
      </c>
      <c r="J51" s="167" t="s">
        <v>3877</v>
      </c>
      <c r="K51" s="171" t="s">
        <v>3878</v>
      </c>
      <c r="L51" s="167" t="s">
        <v>3717</v>
      </c>
      <c r="M51" s="113"/>
      <c r="N51" s="167" t="s">
        <v>275</v>
      </c>
    </row>
    <row r="52">
      <c r="A52" s="173">
        <v>9522.0</v>
      </c>
      <c r="B52" s="174"/>
      <c r="C52" s="175" t="str">
        <f>IFERROR(__xludf.DUMMYFUNCTION("googletranslate(B52)"),"#VALUE!")</f>
        <v>#VALUE!</v>
      </c>
      <c r="D52" s="176" t="s">
        <v>3863</v>
      </c>
      <c r="E52" s="176" t="s">
        <v>3864</v>
      </c>
      <c r="F52" s="174"/>
      <c r="G52" s="174"/>
      <c r="H52" s="174"/>
      <c r="I52" s="176" t="s">
        <v>1470</v>
      </c>
      <c r="J52" s="176" t="s">
        <v>3879</v>
      </c>
      <c r="K52" s="177" t="s">
        <v>3880</v>
      </c>
      <c r="L52" s="176" t="s">
        <v>3717</v>
      </c>
      <c r="M52" s="174"/>
      <c r="N52" s="176" t="s">
        <v>23</v>
      </c>
    </row>
    <row r="53">
      <c r="A53" s="170">
        <v>9522.0</v>
      </c>
      <c r="B53" s="167" t="s">
        <v>3881</v>
      </c>
      <c r="C53" s="167" t="str">
        <f>IFERROR(__xludf.DUMMYFUNCTION("googletranslate(B53)"),"Ecosocial Tax Reform Act 2022 Part I")</f>
        <v>Ecosocial Tax Reform Act 2022 Part I</v>
      </c>
      <c r="D53" s="167" t="s">
        <v>3863</v>
      </c>
      <c r="E53" s="167" t="s">
        <v>3864</v>
      </c>
      <c r="F53" s="167" t="s">
        <v>45</v>
      </c>
      <c r="G53" s="170"/>
      <c r="H53" s="170">
        <v>2022.0</v>
      </c>
      <c r="I53" s="167" t="s">
        <v>1470</v>
      </c>
      <c r="J53" s="167" t="s">
        <v>3882</v>
      </c>
      <c r="K53" s="171" t="s">
        <v>3883</v>
      </c>
      <c r="L53" s="167" t="s">
        <v>3717</v>
      </c>
      <c r="M53" s="113"/>
      <c r="N53" s="167" t="s">
        <v>275</v>
      </c>
    </row>
    <row r="54">
      <c r="A54" s="173">
        <v>10490.0</v>
      </c>
      <c r="B54" s="176" t="s">
        <v>3884</v>
      </c>
      <c r="C54" s="176" t="str">
        <f>IFERROR(__xludf.DUMMYFUNCTION("googletranslate(B54)"),"The EU development plan: Economic comeback with a green and digital focus")</f>
        <v>The EU development plan: Economic comeback with a green and digital focus</v>
      </c>
      <c r="D54" s="176" t="s">
        <v>3863</v>
      </c>
      <c r="E54" s="176" t="s">
        <v>3864</v>
      </c>
      <c r="F54" s="176" t="s">
        <v>234</v>
      </c>
      <c r="G54" s="174"/>
      <c r="H54" s="174"/>
      <c r="I54" s="176" t="s">
        <v>1470</v>
      </c>
      <c r="J54" s="176" t="s">
        <v>3885</v>
      </c>
      <c r="K54" s="177" t="s">
        <v>3886</v>
      </c>
      <c r="L54" s="176" t="s">
        <v>3717</v>
      </c>
      <c r="M54" s="174"/>
      <c r="N54" s="176" t="s">
        <v>229</v>
      </c>
    </row>
    <row r="55">
      <c r="A55" s="170">
        <v>10490.0</v>
      </c>
      <c r="B55" s="167" t="s">
        <v>3887</v>
      </c>
      <c r="C55" s="167" t="str">
        <f>IFERROR(__xludf.DUMMYFUNCTION("googletranslate(B55)"),"Council Implementing Decision on the Approval of the Assessment of the Recovery and Resilience Plan for Austria")</f>
        <v>Council Implementing Decision on the Approval of the Assessment of the Recovery and Resilience Plan for Austria</v>
      </c>
      <c r="D55" s="167" t="s">
        <v>3863</v>
      </c>
      <c r="E55" s="167" t="s">
        <v>3864</v>
      </c>
      <c r="F55" s="167" t="s">
        <v>272</v>
      </c>
      <c r="G55" s="170"/>
      <c r="H55" s="170">
        <v>2021.0</v>
      </c>
      <c r="I55" s="167" t="s">
        <v>24</v>
      </c>
      <c r="J55" s="167" t="s">
        <v>3888</v>
      </c>
      <c r="K55" s="171" t="s">
        <v>3889</v>
      </c>
      <c r="L55" s="167" t="s">
        <v>3717</v>
      </c>
      <c r="M55" s="113"/>
      <c r="N55" s="167" t="s">
        <v>23</v>
      </c>
    </row>
    <row r="56">
      <c r="A56" s="170">
        <v>10490.0</v>
      </c>
      <c r="B56" s="167" t="s">
        <v>3890</v>
      </c>
      <c r="C56" s="79" t="s">
        <v>3891</v>
      </c>
      <c r="D56" s="167" t="s">
        <v>3863</v>
      </c>
      <c r="E56" s="167" t="s">
        <v>3864</v>
      </c>
      <c r="F56" s="167" t="s">
        <v>234</v>
      </c>
      <c r="G56" s="170"/>
      <c r="H56" s="170">
        <v>2021.0</v>
      </c>
      <c r="I56" s="167" t="s">
        <v>1470</v>
      </c>
      <c r="J56" s="167" t="s">
        <v>3892</v>
      </c>
      <c r="K56" s="171" t="s">
        <v>3893</v>
      </c>
      <c r="L56" s="167" t="s">
        <v>3717</v>
      </c>
      <c r="M56" s="113"/>
      <c r="N56" s="167" t="s">
        <v>23</v>
      </c>
    </row>
    <row r="57">
      <c r="A57" s="170">
        <v>10490.0</v>
      </c>
      <c r="B57" s="167" t="s">
        <v>3894</v>
      </c>
      <c r="C57" s="167" t="str">
        <f>IFERROR(__xludf.DUMMYFUNCTION("googletranslate(B57)"),"Annex to the Council Implementing Decision on the Approval of the Assessment of the Recovery and Resilience Plan for Austria")</f>
        <v>Annex to the Council Implementing Decision on the Approval of the Assessment of the Recovery and Resilience Plan for Austria</v>
      </c>
      <c r="D57" s="167" t="s">
        <v>3863</v>
      </c>
      <c r="E57" s="167" t="s">
        <v>3864</v>
      </c>
      <c r="F57" s="169" t="s">
        <v>272</v>
      </c>
      <c r="G57" s="170"/>
      <c r="H57" s="170">
        <v>2021.0</v>
      </c>
      <c r="I57" s="167" t="s">
        <v>24</v>
      </c>
      <c r="J57" s="167" t="s">
        <v>3895</v>
      </c>
      <c r="K57" s="171" t="s">
        <v>3896</v>
      </c>
      <c r="L57" s="167" t="s">
        <v>3717</v>
      </c>
      <c r="M57" s="113"/>
      <c r="N57" s="167" t="s">
        <v>23</v>
      </c>
    </row>
    <row r="58">
      <c r="A58" s="170">
        <v>10469.0</v>
      </c>
      <c r="B58" s="190" t="s">
        <v>3897</v>
      </c>
      <c r="C58" s="167" t="str">
        <f>IFERROR(__xludf.DUMMYFUNCTION("googletranslate(B58)"),"Resolution No. (51) of 2007 to establish the Joint Climate Change Committee")</f>
        <v>Resolution No. (51) of 2007 to establish the Joint Climate Change Committee</v>
      </c>
      <c r="D58" s="167" t="s">
        <v>3898</v>
      </c>
      <c r="E58" s="167" t="s">
        <v>3899</v>
      </c>
      <c r="F58" s="167" t="s">
        <v>137</v>
      </c>
      <c r="G58" s="170"/>
      <c r="H58" s="170">
        <v>2007.0</v>
      </c>
      <c r="I58" s="167" t="s">
        <v>335</v>
      </c>
      <c r="J58" s="167" t="s">
        <v>3900</v>
      </c>
      <c r="K58" s="171" t="s">
        <v>3901</v>
      </c>
      <c r="L58" s="167" t="s">
        <v>3717</v>
      </c>
      <c r="M58" s="113"/>
      <c r="N58" s="167" t="s">
        <v>23</v>
      </c>
    </row>
    <row r="59">
      <c r="A59" s="170">
        <v>10469.0</v>
      </c>
      <c r="B59" s="178" t="s">
        <v>3902</v>
      </c>
      <c r="C59" s="167" t="str">
        <f>IFERROR(__xludf.DUMMYFUNCTION("googletranslate(B59)"),"Resolution No. (57) for the year 2015")</f>
        <v>Resolution No. (57) for the year 2015</v>
      </c>
      <c r="D59" s="167" t="s">
        <v>3898</v>
      </c>
      <c r="E59" s="167" t="s">
        <v>3899</v>
      </c>
      <c r="F59" s="167" t="s">
        <v>137</v>
      </c>
      <c r="G59" s="170"/>
      <c r="H59" s="170">
        <v>2015.0</v>
      </c>
      <c r="I59" s="167" t="s">
        <v>335</v>
      </c>
      <c r="J59" s="167" t="s">
        <v>3903</v>
      </c>
      <c r="K59" s="171" t="s">
        <v>3904</v>
      </c>
      <c r="L59" s="167" t="s">
        <v>3717</v>
      </c>
      <c r="M59" s="113"/>
      <c r="N59" s="167" t="s">
        <v>23</v>
      </c>
    </row>
    <row r="60">
      <c r="A60" s="170">
        <v>1059.0</v>
      </c>
      <c r="B60" s="167" t="s">
        <v>3905</v>
      </c>
      <c r="C60" s="167" t="str">
        <f>IFERROR(__xludf.DUMMYFUNCTION("googletranslate(B60)"),"Act No 13 of 2003")</f>
        <v>Act No 13 of 2003</v>
      </c>
      <c r="D60" s="167" t="s">
        <v>3906</v>
      </c>
      <c r="E60" s="167" t="s">
        <v>3907</v>
      </c>
      <c r="F60" s="167" t="s">
        <v>45</v>
      </c>
      <c r="G60" s="170"/>
      <c r="H60" s="170">
        <v>2003.0</v>
      </c>
      <c r="I60" s="167" t="s">
        <v>24</v>
      </c>
      <c r="J60" s="167" t="s">
        <v>3908</v>
      </c>
      <c r="K60" s="171" t="s">
        <v>3909</v>
      </c>
      <c r="L60" s="167" t="s">
        <v>3717</v>
      </c>
      <c r="M60" s="113"/>
      <c r="N60" s="167" t="s">
        <v>23</v>
      </c>
    </row>
    <row r="61">
      <c r="A61" s="173">
        <v>1059.0</v>
      </c>
      <c r="B61" s="174"/>
      <c r="C61" s="175" t="str">
        <f>IFERROR(__xludf.DUMMYFUNCTION("googletranslate(B61)"),"#VALUE!")</f>
        <v>#VALUE!</v>
      </c>
      <c r="D61" s="176" t="s">
        <v>3906</v>
      </c>
      <c r="E61" s="176" t="s">
        <v>3907</v>
      </c>
      <c r="F61" s="174"/>
      <c r="G61" s="174"/>
      <c r="H61" s="174"/>
      <c r="I61" s="176" t="s">
        <v>3910</v>
      </c>
      <c r="J61" s="176" t="s">
        <v>3911</v>
      </c>
      <c r="K61" s="177" t="s">
        <v>3912</v>
      </c>
      <c r="L61" s="176" t="s">
        <v>3717</v>
      </c>
      <c r="M61" s="174"/>
      <c r="N61" s="176" t="s">
        <v>23</v>
      </c>
    </row>
    <row r="62">
      <c r="A62" s="170">
        <v>8488.0</v>
      </c>
      <c r="B62" s="168" t="s">
        <v>3913</v>
      </c>
      <c r="C62" s="167" t="str">
        <f>IFERROR(__xludf.DUMMYFUNCTION("googletranslate(B62)"),"Electric Light and Power Act, 2013-2021")</f>
        <v>Electric Light and Power Act, 2013-2021</v>
      </c>
      <c r="D62" s="167" t="s">
        <v>3914</v>
      </c>
      <c r="E62" s="167" t="s">
        <v>3915</v>
      </c>
      <c r="F62" s="167" t="s">
        <v>45</v>
      </c>
      <c r="G62" s="170"/>
      <c r="H62" s="170">
        <v>2014.0</v>
      </c>
      <c r="I62" s="167" t="s">
        <v>24</v>
      </c>
      <c r="J62" s="167" t="s">
        <v>3916</v>
      </c>
      <c r="K62" s="171" t="s">
        <v>3917</v>
      </c>
      <c r="L62" s="167" t="s">
        <v>3717</v>
      </c>
      <c r="M62" s="113"/>
      <c r="N62" s="167" t="s">
        <v>37</v>
      </c>
    </row>
    <row r="63">
      <c r="A63" s="170">
        <v>8488.0</v>
      </c>
      <c r="B63" s="168" t="s">
        <v>3918</v>
      </c>
      <c r="C63" s="167" t="str">
        <f>IFERROR(__xludf.DUMMYFUNCTION("googletranslate(B63)"),"Electric Light and Power (Amendment) Act, 2015-17")</f>
        <v>Electric Light and Power (Amendment) Act, 2015-17</v>
      </c>
      <c r="D63" s="167" t="s">
        <v>3914</v>
      </c>
      <c r="E63" s="167" t="s">
        <v>3915</v>
      </c>
      <c r="F63" s="167" t="s">
        <v>45</v>
      </c>
      <c r="G63" s="170"/>
      <c r="H63" s="170">
        <v>2015.0</v>
      </c>
      <c r="I63" s="167" t="s">
        <v>24</v>
      </c>
      <c r="J63" s="167" t="s">
        <v>3919</v>
      </c>
      <c r="K63" s="171" t="s">
        <v>3920</v>
      </c>
      <c r="L63" s="167" t="s">
        <v>3717</v>
      </c>
      <c r="M63" s="113"/>
      <c r="N63" s="167" t="s">
        <v>37</v>
      </c>
    </row>
    <row r="64">
      <c r="A64" s="173">
        <v>1060.0</v>
      </c>
      <c r="B64" s="174"/>
      <c r="C64" s="175" t="str">
        <f>IFERROR(__xludf.DUMMYFUNCTION("googletranslate(B64)"),"#VALUE!")</f>
        <v>#VALUE!</v>
      </c>
      <c r="D64" s="176" t="s">
        <v>3921</v>
      </c>
      <c r="E64" s="176" t="s">
        <v>3922</v>
      </c>
      <c r="F64" s="176" t="s">
        <v>137</v>
      </c>
      <c r="G64" s="173"/>
      <c r="H64" s="173">
        <v>2013.0</v>
      </c>
      <c r="I64" s="176" t="s">
        <v>3923</v>
      </c>
      <c r="J64" s="176" t="s">
        <v>3924</v>
      </c>
      <c r="K64" s="177" t="s">
        <v>3925</v>
      </c>
      <c r="L64" s="176" t="s">
        <v>3717</v>
      </c>
      <c r="M64" s="176" t="s">
        <v>347</v>
      </c>
      <c r="N64" s="176" t="s">
        <v>23</v>
      </c>
    </row>
    <row r="65">
      <c r="A65" s="173">
        <v>1060.0</v>
      </c>
      <c r="B65" s="174"/>
      <c r="C65" s="175" t="str">
        <f>IFERROR(__xludf.DUMMYFUNCTION("googletranslate(B65)"),"#VALUE!")</f>
        <v>#VALUE!</v>
      </c>
      <c r="D65" s="176" t="s">
        <v>3921</v>
      </c>
      <c r="E65" s="176" t="s">
        <v>3922</v>
      </c>
      <c r="F65" s="176" t="s">
        <v>18</v>
      </c>
      <c r="G65" s="173"/>
      <c r="H65" s="173">
        <v>2013.0</v>
      </c>
      <c r="I65" s="176" t="s">
        <v>347</v>
      </c>
      <c r="J65" s="176" t="s">
        <v>3926</v>
      </c>
      <c r="K65" s="177" t="s">
        <v>3927</v>
      </c>
      <c r="L65" s="176" t="s">
        <v>3717</v>
      </c>
      <c r="M65" s="174"/>
      <c r="N65" s="176" t="s">
        <v>23</v>
      </c>
    </row>
    <row r="66">
      <c r="A66" s="170">
        <v>1073.0</v>
      </c>
      <c r="B66" s="167" t="s">
        <v>3928</v>
      </c>
      <c r="C66" s="167" t="str">
        <f>IFERROR(__xludf.DUMMYFUNCTION("googletranslate(B66)"),"Act relating to minimum nominal nominal volumes of sustainable biofuels which must be incorporated into the volumes of fossil fuels put annually to consumption")</f>
        <v>Act relating to minimum nominal nominal volumes of sustainable biofuels which must be incorporated into the volumes of fossil fuels put annually to consumption</v>
      </c>
      <c r="D66" s="167" t="s">
        <v>3929</v>
      </c>
      <c r="E66" s="167" t="s">
        <v>3930</v>
      </c>
      <c r="F66" s="167" t="s">
        <v>41</v>
      </c>
      <c r="G66" s="170"/>
      <c r="H66" s="170">
        <v>2013.0</v>
      </c>
      <c r="I66" s="167" t="s">
        <v>811</v>
      </c>
      <c r="J66" s="167" t="s">
        <v>3931</v>
      </c>
      <c r="K66" s="171" t="s">
        <v>3932</v>
      </c>
      <c r="L66" s="167" t="s">
        <v>3717</v>
      </c>
      <c r="M66" s="167" t="s">
        <v>3152</v>
      </c>
      <c r="N66" s="167" t="s">
        <v>23</v>
      </c>
    </row>
    <row r="67">
      <c r="A67" s="170">
        <v>1073.0</v>
      </c>
      <c r="B67" s="167" t="s">
        <v>3933</v>
      </c>
      <c r="C67" s="167" t="str">
        <f>IFERROR(__xludf.DUMMYFUNCTION("googletranslate(B67)"),"Law modifying the law of July 17, 2013 relating to minimum nominal volumes of sustainable biofuels which must be incorporated into the volumes of fossil fuels put annually to consumption")</f>
        <v>Law modifying the law of July 17, 2013 relating to minimum nominal volumes of sustainable biofuels which must be incorporated into the volumes of fossil fuels put annually to consumption</v>
      </c>
      <c r="D67" s="167" t="s">
        <v>3929</v>
      </c>
      <c r="E67" s="167" t="s">
        <v>3930</v>
      </c>
      <c r="F67" s="167" t="s">
        <v>41</v>
      </c>
      <c r="G67" s="170"/>
      <c r="H67" s="170">
        <v>2015.0</v>
      </c>
      <c r="I67" s="167" t="s">
        <v>811</v>
      </c>
      <c r="J67" s="167" t="s">
        <v>3934</v>
      </c>
      <c r="K67" s="171" t="s">
        <v>3935</v>
      </c>
      <c r="L67" s="167" t="s">
        <v>3717</v>
      </c>
      <c r="M67" s="113"/>
      <c r="N67" s="167" t="s">
        <v>23</v>
      </c>
    </row>
    <row r="68">
      <c r="A68" s="170">
        <v>1079.0</v>
      </c>
      <c r="B68" s="167" t="s">
        <v>3936</v>
      </c>
      <c r="C68" s="167" t="str">
        <f>IFERROR(__xludf.DUMMYFUNCTION("googletranslate(B68)"),"Law modifying the law of April 12, 1965 relating to the transport of gas products and others by pipes and the law of April 29, 1999 relating to the organization of the electricity market, with a view to reducing the cost of the deployment of electronic co"&amp;"mmunications networks High Speed")</f>
        <v>Law modifying the law of April 12, 1965 relating to the transport of gas products and others by pipes and the law of April 29, 1999 relating to the organization of the electricity market, with a view to reducing the cost of the deployment of electronic communications networks High Speed</v>
      </c>
      <c r="D68" s="167" t="s">
        <v>3929</v>
      </c>
      <c r="E68" s="167" t="s">
        <v>3930</v>
      </c>
      <c r="F68" s="167" t="s">
        <v>41</v>
      </c>
      <c r="G68" s="170"/>
      <c r="H68" s="170">
        <v>2017.0</v>
      </c>
      <c r="I68" s="167" t="s">
        <v>811</v>
      </c>
      <c r="J68" s="167" t="s">
        <v>3937</v>
      </c>
      <c r="K68" s="171" t="s">
        <v>3938</v>
      </c>
      <c r="L68" s="167" t="s">
        <v>3717</v>
      </c>
      <c r="M68" s="167" t="s">
        <v>3152</v>
      </c>
      <c r="N68" s="167" t="s">
        <v>23</v>
      </c>
    </row>
    <row r="69">
      <c r="A69" s="170">
        <v>1079.0</v>
      </c>
      <c r="B69" s="167" t="s">
        <v>3939</v>
      </c>
      <c r="C69" s="167" t="str">
        <f>IFERROR(__xludf.DUMMYFUNCTION("googletranslate(B69)"),"Law relating to the organization of the electricity market")</f>
        <v>Law relating to the organization of the electricity market</v>
      </c>
      <c r="D69" s="167" t="s">
        <v>3929</v>
      </c>
      <c r="E69" s="167" t="s">
        <v>3930</v>
      </c>
      <c r="F69" s="167" t="s">
        <v>41</v>
      </c>
      <c r="G69" s="170"/>
      <c r="H69" s="170">
        <v>1999.0</v>
      </c>
      <c r="I69" s="167" t="s">
        <v>811</v>
      </c>
      <c r="J69" s="167" t="s">
        <v>3940</v>
      </c>
      <c r="K69" s="171" t="s">
        <v>3941</v>
      </c>
      <c r="L69" s="167" t="s">
        <v>3717</v>
      </c>
      <c r="M69" s="167" t="s">
        <v>3152</v>
      </c>
      <c r="N69" s="167" t="s">
        <v>23</v>
      </c>
    </row>
    <row r="70">
      <c r="A70" s="170">
        <v>1079.0</v>
      </c>
      <c r="B70" s="167" t="s">
        <v>3942</v>
      </c>
      <c r="C70" s="167" t="str">
        <f>IFERROR(__xludf.DUMMYFUNCTION("googletranslate(B70)"),"Law modifying the law of April 29, 1999 relating to the organization of the electricity market in order to introduce a competition procedure for the construction and operation of production facilities in marine spaces under the jurisdiction of Belgium and"&amp;" ratifying the royal decree of February 11, 2019, modifying the royal decree of July 16, 2002 relating to the establishment of mechanisms aimed at promoting electricity produced from renewable energy sources")</f>
        <v>Law modifying the law of April 29, 1999 relating to the organization of the electricity market in order to introduce a competition procedure for the construction and operation of production facilities in marine spaces under the jurisdiction of Belgium and ratifying the royal decree of February 11, 2019, modifying the royal decree of July 16, 2002 relating to the establishment of mechanisms aimed at promoting electricity produced from renewable energy sources</v>
      </c>
      <c r="D70" s="167" t="s">
        <v>3929</v>
      </c>
      <c r="E70" s="167" t="s">
        <v>3930</v>
      </c>
      <c r="F70" s="167" t="s">
        <v>41</v>
      </c>
      <c r="G70" s="170"/>
      <c r="H70" s="170">
        <v>2019.0</v>
      </c>
      <c r="I70" s="167" t="s">
        <v>811</v>
      </c>
      <c r="J70" s="171" t="s">
        <v>3943</v>
      </c>
      <c r="K70" s="171" t="s">
        <v>3944</v>
      </c>
      <c r="L70" s="167" t="s">
        <v>3717</v>
      </c>
      <c r="M70" s="113"/>
      <c r="N70" s="167" t="s">
        <v>275</v>
      </c>
    </row>
    <row r="71">
      <c r="A71" s="170">
        <v>1080.0</v>
      </c>
      <c r="B71" s="167" t="s">
        <v>3945</v>
      </c>
      <c r="C71" s="167" t="str">
        <f>IFERROR(__xludf.DUMMYFUNCTION("googletranslate(B71)"),"Law relating to the coordination of the federal sustainable development policy")</f>
        <v>Law relating to the coordination of the federal sustainable development policy</v>
      </c>
      <c r="D71" s="167" t="s">
        <v>3929</v>
      </c>
      <c r="E71" s="167" t="s">
        <v>3930</v>
      </c>
      <c r="F71" s="167" t="s">
        <v>41</v>
      </c>
      <c r="G71" s="170"/>
      <c r="H71" s="170">
        <v>1997.0</v>
      </c>
      <c r="I71" s="167" t="s">
        <v>811</v>
      </c>
      <c r="J71" s="171" t="s">
        <v>3946</v>
      </c>
      <c r="K71" s="171" t="s">
        <v>3947</v>
      </c>
      <c r="L71" s="167" t="s">
        <v>3717</v>
      </c>
      <c r="M71" s="113"/>
      <c r="N71" s="167" t="s">
        <v>275</v>
      </c>
    </row>
    <row r="72">
      <c r="A72" s="170">
        <v>1080.0</v>
      </c>
      <c r="B72" s="168" t="s">
        <v>3948</v>
      </c>
      <c r="C72" s="167" t="str">
        <f>IFERROR(__xludf.DUMMYFUNCTION("googletranslate(B72)"),"The Federal Sustainable Development Plan")</f>
        <v>The Federal Sustainable Development Plan</v>
      </c>
      <c r="D72" s="167" t="s">
        <v>3929</v>
      </c>
      <c r="E72" s="167" t="s">
        <v>3930</v>
      </c>
      <c r="F72" s="167" t="s">
        <v>234</v>
      </c>
      <c r="G72" s="169"/>
      <c r="H72" s="169">
        <v>2000.0</v>
      </c>
      <c r="I72" s="167" t="s">
        <v>811</v>
      </c>
      <c r="J72" s="167" t="s">
        <v>3949</v>
      </c>
      <c r="K72" s="171" t="s">
        <v>3950</v>
      </c>
      <c r="L72" s="167" t="s">
        <v>3717</v>
      </c>
      <c r="M72" s="113"/>
      <c r="N72" s="167" t="s">
        <v>92</v>
      </c>
    </row>
    <row r="73">
      <c r="A73" s="170">
        <v>9494.0</v>
      </c>
      <c r="B73" s="167" t="s">
        <v>3951</v>
      </c>
      <c r="C73" s="167" t="str">
        <f>IFERROR(__xludf.DUMMYFUNCTION("googletranslate(B73)"),"National energy -climate plan: Part A - National Plan")</f>
        <v>National energy -climate plan: Part A - National Plan</v>
      </c>
      <c r="D73" s="167" t="s">
        <v>3929</v>
      </c>
      <c r="E73" s="167" t="s">
        <v>3930</v>
      </c>
      <c r="F73" s="167" t="s">
        <v>234</v>
      </c>
      <c r="G73" s="170"/>
      <c r="H73" s="170">
        <v>2019.0</v>
      </c>
      <c r="I73" s="167" t="s">
        <v>811</v>
      </c>
      <c r="J73" s="167" t="s">
        <v>3952</v>
      </c>
      <c r="K73" s="171" t="s">
        <v>3953</v>
      </c>
      <c r="L73" s="167" t="s">
        <v>3717</v>
      </c>
      <c r="M73" s="113"/>
      <c r="N73" s="167" t="s">
        <v>23</v>
      </c>
    </row>
    <row r="74">
      <c r="A74" s="170">
        <v>9494.0</v>
      </c>
      <c r="B74" s="168" t="s">
        <v>3954</v>
      </c>
      <c r="C74" s="167" t="str">
        <f>IFERROR(__xludf.DUMMYFUNCTION("googletranslate(B74)"),"National energy -climate plan: part B - Analytical base")</f>
        <v>National energy -climate plan: part B - Analytical base</v>
      </c>
      <c r="D74" s="167" t="s">
        <v>3929</v>
      </c>
      <c r="E74" s="167" t="s">
        <v>3930</v>
      </c>
      <c r="F74" s="167" t="s">
        <v>234</v>
      </c>
      <c r="G74" s="170"/>
      <c r="H74" s="170">
        <v>2019.0</v>
      </c>
      <c r="I74" s="167" t="s">
        <v>811</v>
      </c>
      <c r="J74" s="167" t="s">
        <v>3955</v>
      </c>
      <c r="K74" s="171" t="s">
        <v>3956</v>
      </c>
      <c r="L74" s="167" t="s">
        <v>3717</v>
      </c>
      <c r="M74" s="113"/>
      <c r="N74" s="167" t="s">
        <v>23</v>
      </c>
    </row>
    <row r="75">
      <c r="A75" s="170">
        <v>9494.0</v>
      </c>
      <c r="B75" s="167" t="s">
        <v>3957</v>
      </c>
      <c r="C75" s="167" t="str">
        <f>IFERROR(__xludf.DUMMYFUNCTION("googletranslate(B75)"),"National Energy and Climate Plan: Part A - National Plan")</f>
        <v>National Energy and Climate Plan: Part A - National Plan</v>
      </c>
      <c r="D75" s="167" t="s">
        <v>3929</v>
      </c>
      <c r="E75" s="167" t="s">
        <v>3930</v>
      </c>
      <c r="F75" s="167" t="s">
        <v>234</v>
      </c>
      <c r="G75" s="170"/>
      <c r="H75" s="170">
        <v>2019.0</v>
      </c>
      <c r="I75" s="167" t="s">
        <v>3152</v>
      </c>
      <c r="J75" s="167" t="s">
        <v>3958</v>
      </c>
      <c r="K75" s="171" t="s">
        <v>3959</v>
      </c>
      <c r="L75" s="167" t="s">
        <v>3717</v>
      </c>
      <c r="M75" s="113"/>
      <c r="N75" s="167" t="s">
        <v>23</v>
      </c>
    </row>
    <row r="76">
      <c r="A76" s="170">
        <v>9494.0</v>
      </c>
      <c r="B76" s="168" t="s">
        <v>3960</v>
      </c>
      <c r="C76" s="167" t="str">
        <f>IFERROR(__xludf.DUMMYFUNCTION("googletranslate(B76)"),"National Energy and Climate Plan: Part B - Analytical basis")</f>
        <v>National Energy and Climate Plan: Part B - Analytical basis</v>
      </c>
      <c r="D76" s="167" t="s">
        <v>3929</v>
      </c>
      <c r="E76" s="167" t="s">
        <v>3930</v>
      </c>
      <c r="F76" s="167" t="s">
        <v>234</v>
      </c>
      <c r="G76" s="170"/>
      <c r="H76" s="170">
        <v>2019.0</v>
      </c>
      <c r="I76" s="167" t="s">
        <v>3152</v>
      </c>
      <c r="J76" s="167" t="s">
        <v>3961</v>
      </c>
      <c r="K76" s="171" t="s">
        <v>3962</v>
      </c>
      <c r="L76" s="167" t="s">
        <v>3717</v>
      </c>
      <c r="M76" s="113"/>
      <c r="N76" s="167" t="s">
        <v>23</v>
      </c>
    </row>
    <row r="77">
      <c r="A77" s="170">
        <v>10491.0</v>
      </c>
      <c r="B77" s="168" t="s">
        <v>3963</v>
      </c>
      <c r="C77" s="167" t="str">
        <f>IFERROR(__xludf.DUMMYFUNCTION("googletranslate(B77)"),"Belgium’s recovery and resilience plan")</f>
        <v>Belgium’s recovery and resilience plan</v>
      </c>
      <c r="D77" s="167" t="s">
        <v>3929</v>
      </c>
      <c r="E77" s="167" t="s">
        <v>3930</v>
      </c>
      <c r="F77" s="167" t="s">
        <v>234</v>
      </c>
      <c r="G77" s="185"/>
      <c r="H77" s="185">
        <v>2021.0</v>
      </c>
      <c r="I77" s="167" t="s">
        <v>24</v>
      </c>
      <c r="J77" s="171" t="s">
        <v>3964</v>
      </c>
      <c r="K77" s="171" t="s">
        <v>3965</v>
      </c>
      <c r="L77" s="167" t="s">
        <v>3717</v>
      </c>
      <c r="M77" s="113"/>
      <c r="N77" s="167" t="s">
        <v>92</v>
      </c>
    </row>
    <row r="78">
      <c r="A78" s="173">
        <v>10491.0</v>
      </c>
      <c r="B78" s="174"/>
      <c r="C78" s="175" t="str">
        <f>IFERROR(__xludf.DUMMYFUNCTION("googletranslate(B78)"),"#VALUE!")</f>
        <v>#VALUE!</v>
      </c>
      <c r="D78" s="176" t="s">
        <v>3929</v>
      </c>
      <c r="E78" s="176" t="s">
        <v>3930</v>
      </c>
      <c r="F78" s="174"/>
      <c r="G78" s="174"/>
      <c r="H78" s="174"/>
      <c r="I78" s="174"/>
      <c r="J78" s="177" t="s">
        <v>3966</v>
      </c>
      <c r="K78" s="177" t="s">
        <v>3967</v>
      </c>
      <c r="L78" s="176" t="s">
        <v>3717</v>
      </c>
      <c r="M78" s="174"/>
      <c r="N78" s="176" t="s">
        <v>92</v>
      </c>
    </row>
    <row r="79">
      <c r="A79" s="170">
        <v>10491.0</v>
      </c>
      <c r="B79" s="167" t="s">
        <v>3968</v>
      </c>
      <c r="C79" s="167" t="str">
        <f>IFERROR(__xludf.DUMMYFUNCTION("googletranslate(B79)"),"National plan for recovery and resilience")</f>
        <v>National plan for recovery and resilience</v>
      </c>
      <c r="D79" s="167" t="s">
        <v>3929</v>
      </c>
      <c r="E79" s="167" t="s">
        <v>3930</v>
      </c>
      <c r="F79" s="167" t="s">
        <v>234</v>
      </c>
      <c r="G79" s="170"/>
      <c r="H79" s="170">
        <v>2021.0</v>
      </c>
      <c r="I79" s="167" t="s">
        <v>3152</v>
      </c>
      <c r="J79" s="167" t="s">
        <v>3969</v>
      </c>
      <c r="K79" s="171" t="s">
        <v>3970</v>
      </c>
      <c r="L79" s="167" t="s">
        <v>3717</v>
      </c>
      <c r="M79" s="113"/>
      <c r="N79" s="167" t="s">
        <v>23</v>
      </c>
    </row>
    <row r="80">
      <c r="A80" s="170">
        <v>10491.0</v>
      </c>
      <c r="B80" s="167" t="s">
        <v>3971</v>
      </c>
      <c r="C80" s="167" t="str">
        <f>IFERROR(__xludf.DUMMYFUNCTION("googletranslate(B80)"),"National plan for recovery and resilience")</f>
        <v>National plan for recovery and resilience</v>
      </c>
      <c r="D80" s="167" t="s">
        <v>3929</v>
      </c>
      <c r="E80" s="167" t="s">
        <v>3930</v>
      </c>
      <c r="F80" s="167" t="s">
        <v>234</v>
      </c>
      <c r="G80" s="170"/>
      <c r="H80" s="170">
        <v>2021.0</v>
      </c>
      <c r="I80" s="167" t="s">
        <v>811</v>
      </c>
      <c r="J80" s="167" t="s">
        <v>3972</v>
      </c>
      <c r="K80" s="171" t="s">
        <v>3973</v>
      </c>
      <c r="L80" s="167" t="s">
        <v>3717</v>
      </c>
      <c r="M80" s="113"/>
      <c r="N80" s="167" t="s">
        <v>23</v>
      </c>
    </row>
    <row r="81">
      <c r="A81" s="170">
        <v>9118.0</v>
      </c>
      <c r="B81" s="168" t="s">
        <v>3974</v>
      </c>
      <c r="C81" s="167" t="str">
        <f>IFERROR(__xludf.DUMMYFUNCTION("googletranslate(B81)"),"Supreme Decree No. 2472")</f>
        <v>Supreme Decree No. 2472</v>
      </c>
      <c r="D81" s="167" t="s">
        <v>3975</v>
      </c>
      <c r="E81" s="167" t="s">
        <v>3976</v>
      </c>
      <c r="F81" s="167" t="s">
        <v>18</v>
      </c>
      <c r="G81" s="170"/>
      <c r="H81" s="170">
        <v>2015.0</v>
      </c>
      <c r="I81" s="167" t="s">
        <v>924</v>
      </c>
      <c r="J81" s="167" t="s">
        <v>3977</v>
      </c>
      <c r="K81" s="171" t="s">
        <v>3978</v>
      </c>
      <c r="L81" s="167" t="s">
        <v>3717</v>
      </c>
      <c r="M81" s="113"/>
      <c r="N81" s="167" t="s">
        <v>23</v>
      </c>
    </row>
    <row r="82">
      <c r="A82" s="170">
        <v>9118.0</v>
      </c>
      <c r="B82" s="168" t="s">
        <v>3979</v>
      </c>
      <c r="C82" s="167" t="str">
        <f>IFERROR(__xludf.DUMMYFUNCTION("googletranslate(B82)"),"Supreme Decree No 2854")</f>
        <v>Supreme Decree No 2854</v>
      </c>
      <c r="D82" s="167" t="s">
        <v>3975</v>
      </c>
      <c r="E82" s="167" t="s">
        <v>3976</v>
      </c>
      <c r="F82" s="167" t="s">
        <v>18</v>
      </c>
      <c r="G82" s="170"/>
      <c r="H82" s="170">
        <v>2016.0</v>
      </c>
      <c r="I82" s="167" t="s">
        <v>924</v>
      </c>
      <c r="J82" s="167" t="s">
        <v>3980</v>
      </c>
      <c r="K82" s="171" t="s">
        <v>3981</v>
      </c>
      <c r="L82" s="167" t="s">
        <v>3717</v>
      </c>
      <c r="M82" s="113"/>
      <c r="N82" s="167" t="s">
        <v>23</v>
      </c>
    </row>
    <row r="83">
      <c r="A83" s="170">
        <v>1092.0</v>
      </c>
      <c r="B83" s="168" t="s">
        <v>3982</v>
      </c>
      <c r="C83" s="167" t="str">
        <f>IFERROR(__xludf.DUMMYFUNCTION("googletranslate(B83)"),"Law No. 12,187, of December 29, 2009")</f>
        <v>Law No. 12,187, of December 29, 2009</v>
      </c>
      <c r="D83" s="167" t="s">
        <v>698</v>
      </c>
      <c r="E83" s="167" t="s">
        <v>699</v>
      </c>
      <c r="F83" s="167" t="s">
        <v>41</v>
      </c>
      <c r="G83" s="170"/>
      <c r="H83" s="170">
        <v>2009.0</v>
      </c>
      <c r="I83" s="167" t="s">
        <v>700</v>
      </c>
      <c r="J83" s="167" t="s">
        <v>3983</v>
      </c>
      <c r="K83" s="171" t="s">
        <v>3984</v>
      </c>
      <c r="L83" s="167" t="s">
        <v>3717</v>
      </c>
      <c r="M83" s="113"/>
      <c r="N83" s="167" t="s">
        <v>37</v>
      </c>
    </row>
    <row r="84">
      <c r="A84" s="170">
        <v>1092.0</v>
      </c>
      <c r="B84" s="168" t="s">
        <v>3985</v>
      </c>
      <c r="C84" s="167" t="str">
        <f>IFERROR(__xludf.DUMMYFUNCTION("googletranslate(B84)"),"Decree No. 7,390, of December 9, 2010")</f>
        <v>Decree No. 7,390, of December 9, 2010</v>
      </c>
      <c r="D84" s="167" t="s">
        <v>698</v>
      </c>
      <c r="E84" s="167" t="s">
        <v>699</v>
      </c>
      <c r="F84" s="167" t="s">
        <v>18</v>
      </c>
      <c r="G84" s="170"/>
      <c r="H84" s="170">
        <v>2010.0</v>
      </c>
      <c r="I84" s="167" t="s">
        <v>700</v>
      </c>
      <c r="J84" s="167" t="s">
        <v>3986</v>
      </c>
      <c r="K84" s="171" t="s">
        <v>3987</v>
      </c>
      <c r="L84" s="167" t="s">
        <v>3717</v>
      </c>
      <c r="M84" s="113"/>
      <c r="N84" s="167" t="s">
        <v>37</v>
      </c>
    </row>
    <row r="85">
      <c r="A85" s="170">
        <v>1093.0</v>
      </c>
      <c r="B85" s="168" t="s">
        <v>3988</v>
      </c>
      <c r="C85" s="167" t="str">
        <f>IFERROR(__xludf.DUMMYFUNCTION("googletranslate(B85)"),"Law No. 12,114, of December 9, 2009")</f>
        <v>Law No. 12,114, of December 9, 2009</v>
      </c>
      <c r="D85" s="167" t="s">
        <v>698</v>
      </c>
      <c r="E85" s="167" t="s">
        <v>699</v>
      </c>
      <c r="F85" s="167" t="s">
        <v>41</v>
      </c>
      <c r="G85" s="170"/>
      <c r="H85" s="170">
        <v>2009.0</v>
      </c>
      <c r="I85" s="167" t="s">
        <v>700</v>
      </c>
      <c r="J85" s="167" t="s">
        <v>3989</v>
      </c>
      <c r="K85" s="171" t="s">
        <v>3990</v>
      </c>
      <c r="L85" s="167" t="s">
        <v>3717</v>
      </c>
      <c r="M85" s="113"/>
      <c r="N85" s="167" t="s">
        <v>37</v>
      </c>
    </row>
    <row r="86">
      <c r="A86" s="170">
        <v>1093.0</v>
      </c>
      <c r="B86" s="168" t="s">
        <v>3991</v>
      </c>
      <c r="C86" s="167" t="str">
        <f>IFERROR(__xludf.DUMMYFUNCTION("googletranslate(B86)"),"Decree No. 7,343, of October 26, 2010")</f>
        <v>Decree No. 7,343, of October 26, 2010</v>
      </c>
      <c r="D86" s="167" t="s">
        <v>698</v>
      </c>
      <c r="E86" s="167" t="s">
        <v>699</v>
      </c>
      <c r="F86" s="167" t="s">
        <v>18</v>
      </c>
      <c r="G86" s="170"/>
      <c r="H86" s="170">
        <v>2010.0</v>
      </c>
      <c r="I86" s="167" t="s">
        <v>700</v>
      </c>
      <c r="J86" s="167" t="s">
        <v>3992</v>
      </c>
      <c r="K86" s="171" t="s">
        <v>3993</v>
      </c>
      <c r="L86" s="167" t="s">
        <v>3717</v>
      </c>
      <c r="M86" s="113"/>
      <c r="N86" s="167" t="s">
        <v>37</v>
      </c>
    </row>
    <row r="87">
      <c r="A87" s="170">
        <v>1094.0</v>
      </c>
      <c r="B87" s="167" t="s">
        <v>3994</v>
      </c>
      <c r="C87" s="185" t="s">
        <v>3995</v>
      </c>
      <c r="D87" s="167" t="s">
        <v>698</v>
      </c>
      <c r="E87" s="167" t="s">
        <v>699</v>
      </c>
      <c r="F87" s="167" t="s">
        <v>234</v>
      </c>
      <c r="G87" s="170"/>
      <c r="H87" s="170">
        <v>2008.0</v>
      </c>
      <c r="I87" s="167" t="s">
        <v>700</v>
      </c>
      <c r="J87" s="167" t="s">
        <v>3996</v>
      </c>
      <c r="K87" s="171" t="s">
        <v>3997</v>
      </c>
      <c r="L87" s="167" t="s">
        <v>3717</v>
      </c>
      <c r="M87" s="113"/>
      <c r="N87" s="167" t="s">
        <v>23</v>
      </c>
    </row>
    <row r="88">
      <c r="A88" s="170">
        <v>1094.0</v>
      </c>
      <c r="B88" s="168" t="s">
        <v>3998</v>
      </c>
      <c r="C88" s="167" t="str">
        <f>IFERROR(__xludf.DUMMYFUNCTION("googletranslate(B88)"),"National Plan on Climate Change: Executive Summary")</f>
        <v>National Plan on Climate Change: Executive Summary</v>
      </c>
      <c r="D88" s="167" t="s">
        <v>698</v>
      </c>
      <c r="E88" s="167" t="s">
        <v>699</v>
      </c>
      <c r="F88" s="167" t="s">
        <v>234</v>
      </c>
      <c r="G88" s="170"/>
      <c r="H88" s="170">
        <v>2008.0</v>
      </c>
      <c r="I88" s="167" t="s">
        <v>24</v>
      </c>
      <c r="J88" s="167" t="s">
        <v>3999</v>
      </c>
      <c r="K88" s="171" t="s">
        <v>4000</v>
      </c>
      <c r="L88" s="167" t="s">
        <v>3717</v>
      </c>
      <c r="M88" s="113"/>
      <c r="N88" s="167" t="s">
        <v>23</v>
      </c>
    </row>
    <row r="89">
      <c r="A89" s="170">
        <v>1095.0</v>
      </c>
      <c r="B89" s="168" t="s">
        <v>4001</v>
      </c>
      <c r="C89" s="167" t="str">
        <f>IFERROR(__xludf.DUMMYFUNCTION("googletranslate(B89)"),"National Energy Plan 2030")</f>
        <v>National Energy Plan 2030</v>
      </c>
      <c r="D89" s="167" t="s">
        <v>698</v>
      </c>
      <c r="E89" s="167" t="s">
        <v>699</v>
      </c>
      <c r="F89" s="167" t="s">
        <v>234</v>
      </c>
      <c r="G89" s="170"/>
      <c r="H89" s="170">
        <v>2007.0</v>
      </c>
      <c r="I89" s="167" t="s">
        <v>700</v>
      </c>
      <c r="J89" s="167" t="s">
        <v>4002</v>
      </c>
      <c r="K89" s="171" t="s">
        <v>4003</v>
      </c>
      <c r="L89" s="167" t="s">
        <v>3717</v>
      </c>
      <c r="M89" s="113"/>
      <c r="N89" s="167" t="s">
        <v>37</v>
      </c>
    </row>
    <row r="90">
      <c r="A90" s="170">
        <v>1095.0</v>
      </c>
      <c r="B90" s="168" t="s">
        <v>4004</v>
      </c>
      <c r="C90" s="167" t="str">
        <f>IFERROR(__xludf.DUMMYFUNCTION("googletranslate(B90)"),"National Energy Plan 2050: Annex")</f>
        <v>National Energy Plan 2050: Annex</v>
      </c>
      <c r="D90" s="167" t="s">
        <v>698</v>
      </c>
      <c r="E90" s="167" t="s">
        <v>699</v>
      </c>
      <c r="F90" s="167" t="s">
        <v>234</v>
      </c>
      <c r="G90" s="170"/>
      <c r="H90" s="170">
        <v>2020.0</v>
      </c>
      <c r="I90" s="167" t="s">
        <v>700</v>
      </c>
      <c r="J90" s="167" t="s">
        <v>4005</v>
      </c>
      <c r="K90" s="171" t="s">
        <v>4006</v>
      </c>
      <c r="L90" s="167" t="s">
        <v>3717</v>
      </c>
      <c r="M90" s="113"/>
      <c r="N90" s="167" t="s">
        <v>37</v>
      </c>
    </row>
    <row r="91">
      <c r="A91" s="170">
        <v>1095.0</v>
      </c>
      <c r="B91" s="168" t="s">
        <v>4007</v>
      </c>
      <c r="C91" s="167" t="str">
        <f>IFERROR(__xludf.DUMMYFUNCTION("googletranslate(B91)"),"National Energy Plan 2050")</f>
        <v>National Energy Plan 2050</v>
      </c>
      <c r="D91" s="167" t="s">
        <v>698</v>
      </c>
      <c r="E91" s="167" t="s">
        <v>699</v>
      </c>
      <c r="F91" s="167" t="s">
        <v>234</v>
      </c>
      <c r="G91" s="170"/>
      <c r="H91" s="170">
        <v>2020.0</v>
      </c>
      <c r="I91" s="167" t="s">
        <v>700</v>
      </c>
      <c r="J91" s="167" t="s">
        <v>4008</v>
      </c>
      <c r="K91" s="171" t="s">
        <v>4009</v>
      </c>
      <c r="L91" s="167" t="s">
        <v>3717</v>
      </c>
      <c r="M91" s="113"/>
      <c r="N91" s="167" t="s">
        <v>37</v>
      </c>
    </row>
    <row r="92">
      <c r="A92" s="170">
        <v>1100.0</v>
      </c>
      <c r="B92" s="168" t="s">
        <v>4010</v>
      </c>
      <c r="C92" s="167" t="str">
        <f>IFERROR(__xludf.DUMMYFUNCTION("googletranslate(B92)"),"Law No. 10,295, of October 17, 2001")</f>
        <v>Law No. 10,295, of October 17, 2001</v>
      </c>
      <c r="D92" s="167" t="s">
        <v>698</v>
      </c>
      <c r="E92" s="167" t="s">
        <v>699</v>
      </c>
      <c r="F92" s="167" t="s">
        <v>41</v>
      </c>
      <c r="G92" s="170"/>
      <c r="H92" s="170">
        <v>2001.0</v>
      </c>
      <c r="I92" s="167" t="s">
        <v>700</v>
      </c>
      <c r="J92" s="167" t="s">
        <v>4011</v>
      </c>
      <c r="K92" s="171" t="s">
        <v>4012</v>
      </c>
      <c r="L92" s="167" t="s">
        <v>3717</v>
      </c>
      <c r="M92" s="113"/>
      <c r="N92" s="167" t="s">
        <v>37</v>
      </c>
    </row>
    <row r="93">
      <c r="A93" s="170">
        <v>1100.0</v>
      </c>
      <c r="B93" s="168" t="s">
        <v>4013</v>
      </c>
      <c r="C93" s="167" t="str">
        <f>IFERROR(__xludf.DUMMYFUNCTION("googletranslate(B93)"),"Decree No. 4,059, of December 19, 2001")</f>
        <v>Decree No. 4,059, of December 19, 2001</v>
      </c>
      <c r="D93" s="167" t="s">
        <v>698</v>
      </c>
      <c r="E93" s="167" t="s">
        <v>699</v>
      </c>
      <c r="F93" s="167" t="s">
        <v>18</v>
      </c>
      <c r="G93" s="170"/>
      <c r="H93" s="170">
        <v>2001.0</v>
      </c>
      <c r="I93" s="167" t="s">
        <v>700</v>
      </c>
      <c r="J93" s="167" t="s">
        <v>4014</v>
      </c>
      <c r="K93" s="171" t="s">
        <v>4015</v>
      </c>
      <c r="L93" s="167" t="s">
        <v>3717</v>
      </c>
      <c r="M93" s="113"/>
      <c r="N93" s="167" t="s">
        <v>37</v>
      </c>
    </row>
    <row r="94">
      <c r="A94" s="170">
        <v>1813.0</v>
      </c>
      <c r="B94" s="168" t="s">
        <v>4016</v>
      </c>
      <c r="C94" s="167" t="str">
        <f>IFERROR(__xludf.DUMMYFUNCTION("googletranslate(B94)"),"Decree of July 7, 1999")</f>
        <v>Decree of July 7, 1999</v>
      </c>
      <c r="D94" s="167" t="s">
        <v>698</v>
      </c>
      <c r="E94" s="167" t="s">
        <v>699</v>
      </c>
      <c r="F94" s="167" t="s">
        <v>18</v>
      </c>
      <c r="G94" s="170"/>
      <c r="H94" s="170">
        <v>1999.0</v>
      </c>
      <c r="I94" s="167" t="s">
        <v>700</v>
      </c>
      <c r="J94" s="167" t="s">
        <v>4017</v>
      </c>
      <c r="K94" s="171" t="s">
        <v>4018</v>
      </c>
      <c r="L94" s="167" t="s">
        <v>3717</v>
      </c>
      <c r="M94" s="113"/>
      <c r="N94" s="167" t="s">
        <v>23</v>
      </c>
    </row>
    <row r="95">
      <c r="A95" s="170">
        <v>1813.0</v>
      </c>
      <c r="B95" s="167" t="s">
        <v>4019</v>
      </c>
      <c r="C95" s="167" t="str">
        <f>IFERROR(__xludf.DUMMYFUNCTION("googletranslate(B95)"),"Resolution No. 1 of September 11, 2003")</f>
        <v>Resolution No. 1 of September 11, 2003</v>
      </c>
      <c r="D95" s="167" t="s">
        <v>698</v>
      </c>
      <c r="E95" s="167" t="s">
        <v>699</v>
      </c>
      <c r="F95" s="167" t="s">
        <v>137</v>
      </c>
      <c r="G95" s="170"/>
      <c r="H95" s="170">
        <v>2003.0</v>
      </c>
      <c r="I95" s="167" t="s">
        <v>700</v>
      </c>
      <c r="J95" s="167" t="s">
        <v>4020</v>
      </c>
      <c r="K95" s="171" t="s">
        <v>4021</v>
      </c>
      <c r="L95" s="167" t="s">
        <v>3717</v>
      </c>
      <c r="M95" s="113"/>
      <c r="N95" s="167" t="s">
        <v>23</v>
      </c>
    </row>
    <row r="96">
      <c r="A96" s="170">
        <v>1813.0</v>
      </c>
      <c r="B96" s="168" t="s">
        <v>4022</v>
      </c>
      <c r="C96" s="167" t="str">
        <f>IFERROR(__xludf.DUMMYFUNCTION("googletranslate(B96)"),"CIMGC Resolution No. 9 of 03/20/2009")</f>
        <v>CIMGC Resolution No. 9 of 03/20/2009</v>
      </c>
      <c r="D96" s="167" t="s">
        <v>698</v>
      </c>
      <c r="E96" s="167" t="s">
        <v>699</v>
      </c>
      <c r="F96" s="167" t="s">
        <v>137</v>
      </c>
      <c r="G96" s="170"/>
      <c r="H96" s="170">
        <v>2009.0</v>
      </c>
      <c r="I96" s="167" t="s">
        <v>700</v>
      </c>
      <c r="J96" s="167" t="s">
        <v>4023</v>
      </c>
      <c r="K96" s="171" t="s">
        <v>4024</v>
      </c>
      <c r="L96" s="167" t="s">
        <v>3717</v>
      </c>
      <c r="M96" s="113"/>
      <c r="N96" s="167" t="s">
        <v>275</v>
      </c>
    </row>
    <row r="97">
      <c r="A97" s="170">
        <v>8774.0</v>
      </c>
      <c r="B97" s="168" t="s">
        <v>4025</v>
      </c>
      <c r="C97" s="167" t="str">
        <f>IFERROR(__xludf.DUMMYFUNCTION("googletranslate(B97)"),"Law No. 12,651, of May 25, 2012")</f>
        <v>Law No. 12,651, of May 25, 2012</v>
      </c>
      <c r="D97" s="167" t="s">
        <v>698</v>
      </c>
      <c r="E97" s="167" t="s">
        <v>699</v>
      </c>
      <c r="F97" s="167" t="s">
        <v>41</v>
      </c>
      <c r="G97" s="170"/>
      <c r="H97" s="170">
        <v>2012.0</v>
      </c>
      <c r="I97" s="167" t="s">
        <v>700</v>
      </c>
      <c r="J97" s="167" t="s">
        <v>4026</v>
      </c>
      <c r="K97" s="171" t="s">
        <v>4027</v>
      </c>
      <c r="L97" s="167" t="s">
        <v>3717</v>
      </c>
      <c r="M97" s="113"/>
      <c r="N97" s="167" t="s">
        <v>37</v>
      </c>
    </row>
    <row r="98">
      <c r="A98" s="170">
        <v>8774.0</v>
      </c>
      <c r="B98" s="168" t="s">
        <v>4028</v>
      </c>
      <c r="C98" s="167" t="str">
        <f>IFERROR(__xludf.DUMMYFUNCTION("googletranslate(B98)"),"Ordinance No 288, July 2, 2020")</f>
        <v>Ordinance No 288, July 2, 2020</v>
      </c>
      <c r="D98" s="167" t="s">
        <v>698</v>
      </c>
      <c r="E98" s="167" t="s">
        <v>699</v>
      </c>
      <c r="F98" s="167" t="s">
        <v>708</v>
      </c>
      <c r="G98" s="170"/>
      <c r="H98" s="170">
        <v>2020.0</v>
      </c>
      <c r="I98" s="167" t="s">
        <v>700</v>
      </c>
      <c r="J98" s="167" t="s">
        <v>4029</v>
      </c>
      <c r="K98" s="171" t="s">
        <v>4030</v>
      </c>
      <c r="L98" s="167" t="s">
        <v>3717</v>
      </c>
      <c r="M98" s="113"/>
      <c r="N98" s="167" t="s">
        <v>37</v>
      </c>
    </row>
    <row r="99">
      <c r="A99" s="170">
        <v>8788.0</v>
      </c>
      <c r="B99" s="168" t="s">
        <v>4031</v>
      </c>
      <c r="C99" s="167" t="str">
        <f>IFERROR(__xludf.DUMMYFUNCTION("googletranslate(B99)"),"Sectoral plan for mitigation and adaptation to climate change in mining")</f>
        <v>Sectoral plan for mitigation and adaptation to climate change in mining</v>
      </c>
      <c r="D99" s="167" t="s">
        <v>698</v>
      </c>
      <c r="E99" s="167" t="s">
        <v>699</v>
      </c>
      <c r="F99" s="167" t="s">
        <v>234</v>
      </c>
      <c r="G99" s="170"/>
      <c r="H99" s="170">
        <v>2013.0</v>
      </c>
      <c r="I99" s="167" t="s">
        <v>700</v>
      </c>
      <c r="J99" s="167" t="s">
        <v>4032</v>
      </c>
      <c r="K99" s="171" t="s">
        <v>4033</v>
      </c>
      <c r="L99" s="167" t="s">
        <v>3717</v>
      </c>
      <c r="M99" s="113"/>
      <c r="N99" s="167" t="s">
        <v>23</v>
      </c>
    </row>
    <row r="100">
      <c r="A100" s="170">
        <v>8788.0</v>
      </c>
      <c r="B100" s="168" t="s">
        <v>4034</v>
      </c>
      <c r="C100" s="167" t="str">
        <f>IFERROR(__xludf.DUMMYFUNCTION("googletranslate(B100)"),"Ordinance No. 121, of February 8, 2011")</f>
        <v>Ordinance No. 121, of February 8, 2011</v>
      </c>
      <c r="D100" s="167" t="s">
        <v>698</v>
      </c>
      <c r="E100" s="167" t="s">
        <v>699</v>
      </c>
      <c r="F100" s="167" t="s">
        <v>708</v>
      </c>
      <c r="G100" s="170"/>
      <c r="H100" s="170">
        <v>2011.0</v>
      </c>
      <c r="I100" s="167" t="s">
        <v>700</v>
      </c>
      <c r="J100" s="167" t="s">
        <v>4035</v>
      </c>
      <c r="K100" s="171" t="s">
        <v>4036</v>
      </c>
      <c r="L100" s="167" t="s">
        <v>3717</v>
      </c>
      <c r="M100" s="113"/>
      <c r="N100" s="167" t="s">
        <v>23</v>
      </c>
    </row>
    <row r="101">
      <c r="A101" s="170">
        <v>8792.0</v>
      </c>
      <c r="B101" s="168" t="s">
        <v>4037</v>
      </c>
      <c r="C101" s="172" t="s">
        <v>4038</v>
      </c>
      <c r="D101" s="167" t="s">
        <v>698</v>
      </c>
      <c r="E101" s="167" t="s">
        <v>699</v>
      </c>
      <c r="F101" s="167" t="s">
        <v>234</v>
      </c>
      <c r="G101" s="170"/>
      <c r="H101" s="170">
        <v>2016.0</v>
      </c>
      <c r="I101" s="167" t="s">
        <v>700</v>
      </c>
      <c r="J101" s="167" t="s">
        <v>4039</v>
      </c>
      <c r="K101" s="171" t="s">
        <v>4040</v>
      </c>
      <c r="L101" s="167" t="s">
        <v>3717</v>
      </c>
      <c r="M101" s="113"/>
      <c r="N101" s="167" t="s">
        <v>23</v>
      </c>
    </row>
    <row r="102">
      <c r="A102" s="170">
        <v>8792.0</v>
      </c>
      <c r="B102" s="168" t="s">
        <v>4038</v>
      </c>
      <c r="C102" s="167" t="str">
        <f>IFERROR(__xludf.DUMMYFUNCTION("googletranslate(B102)"),"National Adaptation Plan to Climate Change - Volume I: General Strategy")</f>
        <v>National Adaptation Plan to Climate Change - Volume I: General Strategy</v>
      </c>
      <c r="D102" s="167" t="s">
        <v>698</v>
      </c>
      <c r="E102" s="167" t="s">
        <v>699</v>
      </c>
      <c r="F102" s="167" t="s">
        <v>234</v>
      </c>
      <c r="G102" s="170"/>
      <c r="H102" s="170">
        <v>2016.0</v>
      </c>
      <c r="I102" s="167" t="s">
        <v>24</v>
      </c>
      <c r="J102" s="167" t="s">
        <v>4041</v>
      </c>
      <c r="K102" s="171" t="s">
        <v>4042</v>
      </c>
      <c r="L102" s="167" t="s">
        <v>3717</v>
      </c>
      <c r="M102" s="113"/>
      <c r="N102" s="167" t="s">
        <v>23</v>
      </c>
    </row>
    <row r="103">
      <c r="A103" s="170">
        <v>8792.0</v>
      </c>
      <c r="B103" s="168" t="s">
        <v>4043</v>
      </c>
      <c r="C103" s="167" t="str">
        <f>IFERROR(__xludf.DUMMYFUNCTION("googletranslate(B103)"),"Ordinance on 150, May 10, 2016")</f>
        <v>Ordinance on 150, May 10, 2016</v>
      </c>
      <c r="D103" s="167" t="s">
        <v>698</v>
      </c>
      <c r="E103" s="167" t="s">
        <v>699</v>
      </c>
      <c r="F103" s="167" t="s">
        <v>708</v>
      </c>
      <c r="G103" s="170"/>
      <c r="H103" s="170">
        <v>2016.0</v>
      </c>
      <c r="I103" s="167" t="s">
        <v>700</v>
      </c>
      <c r="J103" s="167" t="s">
        <v>4044</v>
      </c>
      <c r="K103" s="171" t="s">
        <v>4045</v>
      </c>
      <c r="L103" s="167" t="s">
        <v>3717</v>
      </c>
      <c r="M103" s="113"/>
      <c r="N103" s="167" t="s">
        <v>229</v>
      </c>
    </row>
    <row r="104">
      <c r="A104" s="170">
        <v>8794.0</v>
      </c>
      <c r="B104" s="168" t="s">
        <v>4046</v>
      </c>
      <c r="C104" s="167" t="str">
        <f>IFERROR(__xludf.DUMMYFUNCTION("googletranslate(B104)"),"Decree No. 9,578, of November 22, 2018")</f>
        <v>Decree No. 9,578, of November 22, 2018</v>
      </c>
      <c r="D104" s="167" t="s">
        <v>698</v>
      </c>
      <c r="E104" s="167" t="s">
        <v>699</v>
      </c>
      <c r="F104" s="167" t="s">
        <v>18</v>
      </c>
      <c r="G104" s="170"/>
      <c r="H104" s="170">
        <v>2018.0</v>
      </c>
      <c r="I104" s="167" t="s">
        <v>700</v>
      </c>
      <c r="J104" s="167" t="s">
        <v>4047</v>
      </c>
      <c r="K104" s="171" t="s">
        <v>4048</v>
      </c>
      <c r="L104" s="167" t="s">
        <v>3717</v>
      </c>
      <c r="M104" s="113"/>
      <c r="N104" s="167" t="s">
        <v>23</v>
      </c>
    </row>
    <row r="105">
      <c r="A105" s="170">
        <v>8794.0</v>
      </c>
      <c r="B105" s="168" t="s">
        <v>4049</v>
      </c>
      <c r="C105" s="167" t="str">
        <f>IFERROR(__xludf.DUMMYFUNCTION("googletranslate(B105)"),"Decree No. 10,143, of November 28, 2019")</f>
        <v>Decree No. 10,143, of November 28, 2019</v>
      </c>
      <c r="D105" s="167" t="s">
        <v>698</v>
      </c>
      <c r="E105" s="167" t="s">
        <v>699</v>
      </c>
      <c r="F105" s="167" t="s">
        <v>18</v>
      </c>
      <c r="G105" s="170"/>
      <c r="H105" s="170">
        <v>2019.0</v>
      </c>
      <c r="I105" s="167" t="s">
        <v>700</v>
      </c>
      <c r="J105" s="167" t="s">
        <v>4050</v>
      </c>
      <c r="K105" s="171" t="s">
        <v>4051</v>
      </c>
      <c r="L105" s="167" t="s">
        <v>3717</v>
      </c>
      <c r="M105" s="113"/>
      <c r="N105" s="167" t="s">
        <v>37</v>
      </c>
    </row>
    <row r="106">
      <c r="A106" s="170">
        <v>9479.0</v>
      </c>
      <c r="B106" s="168" t="s">
        <v>4052</v>
      </c>
      <c r="C106" s="167" t="str">
        <f>IFERROR(__xludf.DUMMYFUNCTION("googletranslate(B106)"),"Decree No. 10,145, of November 28, 2019")</f>
        <v>Decree No. 10,145, of November 28, 2019</v>
      </c>
      <c r="D106" s="167" t="s">
        <v>698</v>
      </c>
      <c r="E106" s="167" t="s">
        <v>699</v>
      </c>
      <c r="F106" s="167" t="s">
        <v>18</v>
      </c>
      <c r="G106" s="170"/>
      <c r="H106" s="170">
        <v>2019.0</v>
      </c>
      <c r="I106" s="167" t="s">
        <v>700</v>
      </c>
      <c r="J106" s="167" t="s">
        <v>4053</v>
      </c>
      <c r="K106" s="171" t="s">
        <v>4054</v>
      </c>
      <c r="L106" s="167" t="s">
        <v>3717</v>
      </c>
      <c r="M106" s="113"/>
      <c r="N106" s="167" t="s">
        <v>37</v>
      </c>
    </row>
    <row r="107">
      <c r="A107" s="170">
        <v>9479.0</v>
      </c>
      <c r="B107" s="168" t="s">
        <v>4055</v>
      </c>
      <c r="C107" s="167" t="str">
        <f>IFERROR(__xludf.DUMMYFUNCTION("googletranslate(B107)"),"Decree No. 10,845, of October 25, 2021")</f>
        <v>Decree No. 10,845, of October 25, 2021</v>
      </c>
      <c r="D107" s="167" t="s">
        <v>698</v>
      </c>
      <c r="E107" s="167" t="s">
        <v>699</v>
      </c>
      <c r="F107" s="167" t="s">
        <v>18</v>
      </c>
      <c r="G107" s="170"/>
      <c r="H107" s="170">
        <v>2021.0</v>
      </c>
      <c r="I107" s="167" t="s">
        <v>700</v>
      </c>
      <c r="J107" s="171" t="s">
        <v>4056</v>
      </c>
      <c r="K107" s="171" t="s">
        <v>4057</v>
      </c>
      <c r="L107" s="167" t="s">
        <v>3717</v>
      </c>
      <c r="M107" s="113"/>
      <c r="N107" s="167" t="s">
        <v>37</v>
      </c>
    </row>
    <row r="108">
      <c r="A108" s="170">
        <v>9603.0</v>
      </c>
      <c r="B108" s="168" t="s">
        <v>4058</v>
      </c>
      <c r="C108" s="167" t="str">
        <f>IFERROR(__xludf.DUMMYFUNCTION("googletranslate(B108)"),"Decree No. 10,387, of June 5, 2020")</f>
        <v>Decree No. 10,387, of June 5, 2020</v>
      </c>
      <c r="D108" s="167" t="s">
        <v>698</v>
      </c>
      <c r="E108" s="167" t="s">
        <v>699</v>
      </c>
      <c r="F108" s="167" t="s">
        <v>18</v>
      </c>
      <c r="G108" s="170"/>
      <c r="H108" s="170">
        <v>2020.0</v>
      </c>
      <c r="I108" s="167" t="s">
        <v>700</v>
      </c>
      <c r="J108" s="167" t="s">
        <v>4059</v>
      </c>
      <c r="K108" s="171" t="s">
        <v>4060</v>
      </c>
      <c r="L108" s="167" t="s">
        <v>3717</v>
      </c>
      <c r="M108" s="113"/>
      <c r="N108" s="167" t="s">
        <v>229</v>
      </c>
    </row>
    <row r="109">
      <c r="A109" s="170">
        <v>9603.0</v>
      </c>
      <c r="B109" s="168" t="s">
        <v>4061</v>
      </c>
      <c r="C109" s="167" t="str">
        <f>IFERROR(__xludf.DUMMYFUNCTION("googletranslate(B109)"),"Decree No. 8,874, of October 11, 2016")</f>
        <v>Decree No. 8,874, of October 11, 2016</v>
      </c>
      <c r="D109" s="167" t="s">
        <v>698</v>
      </c>
      <c r="E109" s="167" t="s">
        <v>699</v>
      </c>
      <c r="F109" s="167" t="s">
        <v>18</v>
      </c>
      <c r="G109" s="170"/>
      <c r="H109" s="170">
        <v>2016.0</v>
      </c>
      <c r="I109" s="167" t="s">
        <v>700</v>
      </c>
      <c r="J109" s="167" t="s">
        <v>4062</v>
      </c>
      <c r="K109" s="171" t="s">
        <v>4063</v>
      </c>
      <c r="L109" s="167" t="s">
        <v>3717</v>
      </c>
      <c r="M109" s="113"/>
      <c r="N109" s="167" t="s">
        <v>37</v>
      </c>
    </row>
    <row r="110">
      <c r="A110" s="170">
        <v>9737.0</v>
      </c>
      <c r="B110" s="168" t="s">
        <v>4064</v>
      </c>
      <c r="C110" s="167" t="str">
        <f>IFERROR(__xludf.DUMMYFUNCTION("googletranslate(B110)"),"National Plan to control illegal deforestation and recovery of native vegetation 2020-2023")</f>
        <v>National Plan to control illegal deforestation and recovery of native vegetation 2020-2023</v>
      </c>
      <c r="D110" s="167" t="s">
        <v>698</v>
      </c>
      <c r="E110" s="167" t="s">
        <v>699</v>
      </c>
      <c r="F110" s="167" t="s">
        <v>234</v>
      </c>
      <c r="G110" s="170"/>
      <c r="H110" s="170">
        <v>2020.0</v>
      </c>
      <c r="I110" s="167" t="s">
        <v>700</v>
      </c>
      <c r="J110" s="167" t="s">
        <v>4065</v>
      </c>
      <c r="K110" s="171" t="s">
        <v>4066</v>
      </c>
      <c r="L110" s="167" t="s">
        <v>3717</v>
      </c>
      <c r="M110" s="113"/>
      <c r="N110" s="167" t="s">
        <v>23</v>
      </c>
    </row>
    <row r="111">
      <c r="A111" s="170">
        <v>9737.0</v>
      </c>
      <c r="B111" s="167" t="s">
        <v>4067</v>
      </c>
      <c r="C111" s="167" t="str">
        <f>IFERROR(__xludf.DUMMYFUNCTION("googletranslate(B111)"),"Action Plan for Deforestation and Burning Prevention and Control in the Cerrado &amp; Action Plan for Deforestation Prevention and Control in the Legal Amazon: Phase 2016-2020")</f>
        <v>Action Plan for Deforestation and Burning Prevention and Control in the Cerrado &amp; Action Plan for Deforestation Prevention and Control in the Legal Amazon: Phase 2016-2020</v>
      </c>
      <c r="D111" s="167" t="s">
        <v>698</v>
      </c>
      <c r="E111" s="167" t="s">
        <v>699</v>
      </c>
      <c r="F111" s="167" t="s">
        <v>234</v>
      </c>
      <c r="G111" s="170"/>
      <c r="H111" s="170">
        <v>2018.0</v>
      </c>
      <c r="I111" s="167" t="s">
        <v>700</v>
      </c>
      <c r="J111" s="167" t="s">
        <v>4068</v>
      </c>
      <c r="K111" s="171" t="s">
        <v>4069</v>
      </c>
      <c r="L111" s="167" t="s">
        <v>3717</v>
      </c>
      <c r="M111" s="113"/>
      <c r="N111" s="167" t="s">
        <v>37</v>
      </c>
    </row>
    <row r="112">
      <c r="A112" s="170">
        <v>9862.0</v>
      </c>
      <c r="B112" s="168" t="s">
        <v>4070</v>
      </c>
      <c r="C112" s="167" t="str">
        <f>IFERROR(__xludf.DUMMYFUNCTION("googletranslate(B112)"),"Ten-Year Energy Expansion Plan 2029: Executive Summary")</f>
        <v>Ten-Year Energy Expansion Plan 2029: Executive Summary</v>
      </c>
      <c r="D112" s="167" t="s">
        <v>698</v>
      </c>
      <c r="E112" s="167" t="s">
        <v>699</v>
      </c>
      <c r="F112" s="167" t="s">
        <v>234</v>
      </c>
      <c r="G112" s="170"/>
      <c r="H112" s="170">
        <v>2020.0</v>
      </c>
      <c r="I112" s="167" t="s">
        <v>24</v>
      </c>
      <c r="J112" s="167" t="s">
        <v>4071</v>
      </c>
      <c r="K112" s="171" t="s">
        <v>4072</v>
      </c>
      <c r="L112" s="167" t="s">
        <v>3717</v>
      </c>
      <c r="M112" s="113"/>
      <c r="N112" s="167" t="s">
        <v>37</v>
      </c>
    </row>
    <row r="113">
      <c r="A113" s="170">
        <v>9862.0</v>
      </c>
      <c r="B113" s="168" t="s">
        <v>4073</v>
      </c>
      <c r="C113" s="185" t="s">
        <v>4074</v>
      </c>
      <c r="D113" s="167" t="s">
        <v>698</v>
      </c>
      <c r="E113" s="167" t="s">
        <v>699</v>
      </c>
      <c r="F113" s="167" t="s">
        <v>234</v>
      </c>
      <c r="G113" s="170"/>
      <c r="H113" s="170">
        <v>2020.0</v>
      </c>
      <c r="I113" s="167" t="s">
        <v>700</v>
      </c>
      <c r="J113" s="167" t="s">
        <v>4075</v>
      </c>
      <c r="K113" s="171" t="s">
        <v>4076</v>
      </c>
      <c r="L113" s="167" t="s">
        <v>3717</v>
      </c>
      <c r="M113" s="113"/>
      <c r="N113" s="167" t="s">
        <v>37</v>
      </c>
    </row>
    <row r="114">
      <c r="A114" s="170">
        <v>10162.0</v>
      </c>
      <c r="B114" s="168" t="s">
        <v>4077</v>
      </c>
      <c r="C114" s="167" t="str">
        <f>IFERROR(__xludf.DUMMYFUNCTION("googletranslate(B114)"),"Law No. 13,755, of December 19, 2018")</f>
        <v>Law No. 13,755, of December 19, 2018</v>
      </c>
      <c r="D114" s="167" t="s">
        <v>698</v>
      </c>
      <c r="E114" s="167" t="s">
        <v>699</v>
      </c>
      <c r="F114" s="167" t="s">
        <v>41</v>
      </c>
      <c r="G114" s="170"/>
      <c r="H114" s="170">
        <v>2018.0</v>
      </c>
      <c r="I114" s="167" t="s">
        <v>700</v>
      </c>
      <c r="J114" s="167" t="s">
        <v>4078</v>
      </c>
      <c r="K114" s="171" t="s">
        <v>4079</v>
      </c>
      <c r="L114" s="167" t="s">
        <v>3717</v>
      </c>
      <c r="M114" s="113"/>
      <c r="N114" s="167" t="s">
        <v>37</v>
      </c>
    </row>
    <row r="115">
      <c r="A115" s="173">
        <v>10162.0</v>
      </c>
      <c r="B115" s="176" t="s">
        <v>4080</v>
      </c>
      <c r="C115" s="176" t="str">
        <f>IFERROR(__xludf.DUMMYFUNCTION("googletranslate(B115)"),"All information about Rota 2030")</f>
        <v>All information about Rota 2030</v>
      </c>
      <c r="D115" s="176" t="s">
        <v>698</v>
      </c>
      <c r="E115" s="176" t="s">
        <v>699</v>
      </c>
      <c r="F115" s="187" t="s">
        <v>850</v>
      </c>
      <c r="G115" s="174"/>
      <c r="H115" s="174"/>
      <c r="I115" s="176" t="s">
        <v>700</v>
      </c>
      <c r="J115" s="176" t="s">
        <v>4081</v>
      </c>
      <c r="K115" s="177" t="s">
        <v>4082</v>
      </c>
      <c r="L115" s="176" t="s">
        <v>3717</v>
      </c>
      <c r="M115" s="174"/>
      <c r="N115" s="176" t="s">
        <v>326</v>
      </c>
    </row>
    <row r="116">
      <c r="A116" s="170">
        <v>10441.0</v>
      </c>
      <c r="B116" s="168" t="s">
        <v>4083</v>
      </c>
      <c r="C116" s="167" t="str">
        <f>IFERROR(__xludf.DUMMYFUNCTION("googletranslate(B116)"),"Decree No. 9,172, of October 17, 2017")</f>
        <v>Decree No. 9,172, of October 17, 2017</v>
      </c>
      <c r="D116" s="167" t="s">
        <v>698</v>
      </c>
      <c r="E116" s="167" t="s">
        <v>699</v>
      </c>
      <c r="F116" s="167" t="s">
        <v>18</v>
      </c>
      <c r="G116" s="170"/>
      <c r="H116" s="170">
        <v>2017.0</v>
      </c>
      <c r="I116" s="167" t="s">
        <v>700</v>
      </c>
      <c r="J116" s="167" t="s">
        <v>4084</v>
      </c>
      <c r="K116" s="171" t="s">
        <v>4085</v>
      </c>
      <c r="L116" s="167" t="s">
        <v>3717</v>
      </c>
      <c r="M116" s="113"/>
      <c r="N116" s="167" t="s">
        <v>37</v>
      </c>
    </row>
    <row r="117">
      <c r="A117" s="170">
        <v>10441.0</v>
      </c>
      <c r="B117" s="168" t="s">
        <v>4086</v>
      </c>
      <c r="C117" s="167" t="str">
        <f>IFERROR(__xludf.DUMMYFUNCTION("googletranslate(B117)"),"Normative Instruction No. 12, of November 23, 2010")</f>
        <v>Normative Instruction No. 12, of November 23, 2010</v>
      </c>
      <c r="D117" s="167" t="s">
        <v>698</v>
      </c>
      <c r="E117" s="167" t="s">
        <v>699</v>
      </c>
      <c r="F117" s="188" t="s">
        <v>41</v>
      </c>
      <c r="G117" s="170"/>
      <c r="H117" s="170">
        <v>2010.0</v>
      </c>
      <c r="I117" s="167" t="s">
        <v>700</v>
      </c>
      <c r="J117" s="167" t="s">
        <v>4087</v>
      </c>
      <c r="K117" s="171" t="s">
        <v>4088</v>
      </c>
      <c r="L117" s="167" t="s">
        <v>3717</v>
      </c>
      <c r="M117" s="113"/>
      <c r="N117" s="167" t="s">
        <v>23</v>
      </c>
    </row>
    <row r="118">
      <c r="A118" s="170">
        <v>10443.0</v>
      </c>
      <c r="B118" s="168" t="s">
        <v>4089</v>
      </c>
      <c r="C118" s="167" t="str">
        <f>IFERROR(__xludf.DUMMYFUNCTION("googletranslate(B118)"),"Law No. 12,305, of August 2, 2010")</f>
        <v>Law No. 12,305, of August 2, 2010</v>
      </c>
      <c r="D118" s="167" t="s">
        <v>698</v>
      </c>
      <c r="E118" s="167" t="s">
        <v>699</v>
      </c>
      <c r="F118" s="167" t="s">
        <v>41</v>
      </c>
      <c r="G118" s="170"/>
      <c r="H118" s="170">
        <v>2010.0</v>
      </c>
      <c r="I118" s="167" t="s">
        <v>700</v>
      </c>
      <c r="J118" s="167" t="s">
        <v>4090</v>
      </c>
      <c r="K118" s="171" t="s">
        <v>4091</v>
      </c>
      <c r="L118" s="167" t="s">
        <v>3717</v>
      </c>
      <c r="M118" s="113"/>
      <c r="N118" s="167" t="s">
        <v>37</v>
      </c>
    </row>
    <row r="119">
      <c r="A119" s="170">
        <v>10443.0</v>
      </c>
      <c r="B119" s="168" t="s">
        <v>4092</v>
      </c>
      <c r="C119" s="167" t="str">
        <f>IFERROR(__xludf.DUMMYFUNCTION("googletranslate(B119)"),"Decree No. 10,936, of January 12, 2022")</f>
        <v>Decree No. 10,936, of January 12, 2022</v>
      </c>
      <c r="D119" s="167" t="s">
        <v>698</v>
      </c>
      <c r="E119" s="167" t="s">
        <v>699</v>
      </c>
      <c r="F119" s="167" t="s">
        <v>18</v>
      </c>
      <c r="G119" s="170"/>
      <c r="H119" s="170">
        <v>2022.0</v>
      </c>
      <c r="I119" s="167" t="s">
        <v>700</v>
      </c>
      <c r="J119" s="171" t="s">
        <v>4093</v>
      </c>
      <c r="K119" s="171" t="s">
        <v>4094</v>
      </c>
      <c r="L119" s="167" t="s">
        <v>3717</v>
      </c>
      <c r="M119" s="113"/>
      <c r="N119" s="167" t="s">
        <v>37</v>
      </c>
    </row>
    <row r="120">
      <c r="A120" s="170">
        <v>10443.0</v>
      </c>
      <c r="B120" s="167" t="s">
        <v>4095</v>
      </c>
      <c r="C120" s="191" t="s">
        <v>4096</v>
      </c>
      <c r="D120" s="167" t="s">
        <v>698</v>
      </c>
      <c r="E120" s="167" t="s">
        <v>699</v>
      </c>
      <c r="F120" s="167" t="s">
        <v>850</v>
      </c>
      <c r="G120" s="170"/>
      <c r="H120" s="170">
        <v>2019.0</v>
      </c>
      <c r="I120" s="167" t="s">
        <v>700</v>
      </c>
      <c r="J120" s="167" t="s">
        <v>4097</v>
      </c>
      <c r="K120" s="171" t="s">
        <v>4098</v>
      </c>
      <c r="L120" s="167" t="s">
        <v>3717</v>
      </c>
      <c r="M120" s="113"/>
      <c r="N120" s="167" t="s">
        <v>23</v>
      </c>
    </row>
  </sheetData>
  <autoFilter ref="$A$1:$N$120"/>
  <dataValidations>
    <dataValidation type="list" allowBlank="1" sqref="F2:G120">
      <formula1>'_document type values'!$A:$A</formula1>
    </dataValidation>
  </dataValidations>
  <hyperlinks>
    <hyperlink r:id="rId2" ref="K2"/>
    <hyperlink r:id="rId3" ref="K3"/>
    <hyperlink r:id="rId4" ref="K4"/>
    <hyperlink r:id="rId5" ref="K5"/>
    <hyperlink r:id="rId6" ref="K6"/>
    <hyperlink r:id="rId7" ref="K7"/>
    <hyperlink r:id="rId8" ref="K8"/>
    <hyperlink r:id="rId9" ref="K9"/>
    <hyperlink r:id="rId10" ref="K10"/>
    <hyperlink r:id="rId11" ref="K11"/>
    <hyperlink r:id="rId12" ref="K12"/>
    <hyperlink r:id="rId13" ref="K13"/>
    <hyperlink r:id="rId14" ref="K14"/>
    <hyperlink r:id="rId15" ref="K15"/>
    <hyperlink r:id="rId16" ref="K16"/>
    <hyperlink r:id="rId17" ref="K17"/>
    <hyperlink r:id="rId18" ref="K18"/>
    <hyperlink r:id="rId19" ref="K19"/>
    <hyperlink r:id="rId20" ref="K20"/>
    <hyperlink r:id="rId21" ref="K21"/>
    <hyperlink r:id="rId22" ref="K22"/>
    <hyperlink r:id="rId23" ref="K23"/>
    <hyperlink r:id="rId24" ref="K24"/>
    <hyperlink r:id="rId25" ref="K25"/>
    <hyperlink r:id="rId26" ref="K26"/>
    <hyperlink r:id="rId27" ref="K27"/>
    <hyperlink r:id="rId28" ref="K28"/>
    <hyperlink r:id="rId29" ref="K29"/>
    <hyperlink r:id="rId30" ref="K30"/>
    <hyperlink r:id="rId31" ref="K31"/>
    <hyperlink r:id="rId32" ref="K32"/>
    <hyperlink r:id="rId33" ref="K33"/>
    <hyperlink r:id="rId34" ref="K34"/>
    <hyperlink r:id="rId35" ref="K35"/>
    <hyperlink r:id="rId36" ref="K36"/>
    <hyperlink r:id="rId37" ref="K37"/>
    <hyperlink r:id="rId38" ref="K38"/>
    <hyperlink r:id="rId39" ref="K39"/>
    <hyperlink r:id="rId40" ref="K40"/>
    <hyperlink r:id="rId41" ref="K41"/>
    <hyperlink r:id="rId42" ref="K42"/>
    <hyperlink r:id="rId43" ref="K43"/>
    <hyperlink r:id="rId44" ref="K44"/>
    <hyperlink r:id="rId45" ref="K45"/>
    <hyperlink r:id="rId46" ref="K46"/>
    <hyperlink r:id="rId47" ref="J47"/>
    <hyperlink r:id="rId48" ref="K47"/>
    <hyperlink r:id="rId49" ref="K48"/>
    <hyperlink r:id="rId50" ref="K49"/>
    <hyperlink r:id="rId51" ref="K50"/>
    <hyperlink r:id="rId52" ref="K51"/>
    <hyperlink r:id="rId53" ref="K52"/>
    <hyperlink r:id="rId54" ref="K53"/>
    <hyperlink r:id="rId55" ref="K54"/>
    <hyperlink r:id="rId56" ref="K55"/>
    <hyperlink r:id="rId57" ref="K56"/>
    <hyperlink r:id="rId58" ref="K57"/>
    <hyperlink r:id="rId59" ref="K58"/>
    <hyperlink r:id="rId60" ref="K59"/>
    <hyperlink r:id="rId61" ref="K60"/>
    <hyperlink r:id="rId62" ref="K61"/>
    <hyperlink r:id="rId63" ref="K62"/>
    <hyperlink r:id="rId64" ref="K63"/>
    <hyperlink r:id="rId65" ref="K64"/>
    <hyperlink r:id="rId66" ref="K65"/>
    <hyperlink r:id="rId67" ref="K66"/>
    <hyperlink r:id="rId68" ref="K67"/>
    <hyperlink r:id="rId69" ref="K68"/>
    <hyperlink r:id="rId70" ref="K69"/>
    <hyperlink r:id="rId71" ref="J70"/>
    <hyperlink r:id="rId72" ref="K70"/>
    <hyperlink r:id="rId73" ref="J71"/>
    <hyperlink r:id="rId74" ref="K71"/>
    <hyperlink r:id="rId75" ref="K72"/>
    <hyperlink r:id="rId76" ref="K73"/>
    <hyperlink r:id="rId77" ref="K74"/>
    <hyperlink r:id="rId78" ref="K75"/>
    <hyperlink r:id="rId79" ref="K76"/>
    <hyperlink r:id="rId80" location="belgiums-recovery-and-resilience-plan|en" ref="J77"/>
    <hyperlink r:id="rId81" location="belgiums-recovery-and-resilience-plan" ref="K77"/>
    <hyperlink r:id="rId82" ref="J78"/>
    <hyperlink r:id="rId83" ref="K78"/>
    <hyperlink r:id="rId84" ref="K79"/>
    <hyperlink r:id="rId85" ref="K80"/>
    <hyperlink r:id="rId86" ref="K81"/>
    <hyperlink r:id="rId87" ref="K82"/>
    <hyperlink r:id="rId88" ref="K83"/>
    <hyperlink r:id="rId89" ref="K84"/>
    <hyperlink r:id="rId90" ref="K85"/>
    <hyperlink r:id="rId91" ref="K86"/>
    <hyperlink r:id="rId92" ref="K87"/>
    <hyperlink r:id="rId93" ref="K88"/>
    <hyperlink r:id="rId94" ref="K89"/>
    <hyperlink r:id="rId95" ref="K90"/>
    <hyperlink r:id="rId96" ref="K91"/>
    <hyperlink r:id="rId97" ref="K92"/>
    <hyperlink r:id="rId98" ref="K93"/>
    <hyperlink r:id="rId99" ref="K94"/>
    <hyperlink r:id="rId100" ref="K95"/>
    <hyperlink r:id="rId101" ref="K96"/>
    <hyperlink r:id="rId102" ref="K97"/>
    <hyperlink r:id="rId103" ref="K98"/>
    <hyperlink r:id="rId104" ref="K99"/>
    <hyperlink r:id="rId105" ref="K100"/>
    <hyperlink r:id="rId106" ref="K101"/>
    <hyperlink r:id="rId107" ref="K102"/>
    <hyperlink r:id="rId108" ref="K103"/>
    <hyperlink r:id="rId109" ref="K104"/>
    <hyperlink r:id="rId110" ref="K105"/>
    <hyperlink r:id="rId111" ref="K106"/>
    <hyperlink r:id="rId112" location="art20|pt" ref="J107"/>
    <hyperlink r:id="rId113" location="art20" ref="K107"/>
    <hyperlink r:id="rId114" ref="K108"/>
    <hyperlink r:id="rId115" ref="K109"/>
    <hyperlink r:id="rId116" ref="K110"/>
    <hyperlink r:id="rId117" ref="K111"/>
    <hyperlink r:id="rId118" ref="K112"/>
    <hyperlink r:id="rId119" ref="K113"/>
    <hyperlink r:id="rId120" ref="K114"/>
    <hyperlink r:id="rId121" ref="K115"/>
    <hyperlink r:id="rId122" ref="K116"/>
    <hyperlink r:id="rId123" ref="K117"/>
    <hyperlink r:id="rId124" ref="K118"/>
    <hyperlink r:id="rId125" location="art91|pt" ref="J119"/>
    <hyperlink r:id="rId126" location="art91" ref="K119"/>
    <hyperlink r:id="rId127" ref="K120"/>
  </hyperlinks>
  <drawing r:id="rId128"/>
  <legacyDrawing r:id="rId129"/>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57.75"/>
    <col customWidth="1" min="13" max="13" width="54.63"/>
    <col customWidth="1" min="14" max="14" width="13.88"/>
    <col customWidth="1" min="15" max="15" width="16.13"/>
    <col customWidth="1" min="16" max="16" width="820.0"/>
    <col customWidth="1" min="17" max="17" width="41.75"/>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192" t="s">
        <v>8</v>
      </c>
      <c r="P1" s="26" t="s">
        <v>9</v>
      </c>
      <c r="Q1" s="193" t="s">
        <v>4099</v>
      </c>
      <c r="R1" s="27"/>
      <c r="S1" s="27"/>
      <c r="T1" s="27"/>
      <c r="U1" s="27"/>
      <c r="V1" s="27"/>
      <c r="W1" s="27"/>
      <c r="X1" s="27"/>
      <c r="Y1" s="27"/>
      <c r="Z1" s="27"/>
      <c r="AA1" s="27"/>
      <c r="AB1" s="27"/>
    </row>
    <row r="2">
      <c r="A2" s="109">
        <v>4982.0</v>
      </c>
      <c r="B2" s="110" t="s">
        <v>4100</v>
      </c>
      <c r="C2" s="110" t="s">
        <v>449</v>
      </c>
      <c r="D2" s="110" t="s">
        <v>3713</v>
      </c>
      <c r="E2" s="110" t="s">
        <v>3714</v>
      </c>
      <c r="F2" s="113"/>
      <c r="G2" s="110" t="s">
        <v>610</v>
      </c>
      <c r="H2" s="110" t="s">
        <v>671</v>
      </c>
      <c r="I2" s="110" t="s">
        <v>41</v>
      </c>
      <c r="J2" s="113"/>
      <c r="K2" s="110" t="s">
        <v>450</v>
      </c>
      <c r="L2" s="110" t="s">
        <v>4101</v>
      </c>
      <c r="M2" s="110" t="s">
        <v>2423</v>
      </c>
      <c r="N2" s="110"/>
      <c r="O2" s="110"/>
      <c r="P2" s="194" t="s">
        <v>4102</v>
      </c>
      <c r="Q2" s="135"/>
    </row>
    <row r="3">
      <c r="A3" s="109">
        <v>1014.0</v>
      </c>
      <c r="B3" s="110" t="s">
        <v>4103</v>
      </c>
      <c r="C3" s="110" t="s">
        <v>449</v>
      </c>
      <c r="D3" s="110" t="s">
        <v>3722</v>
      </c>
      <c r="E3" s="110" t="s">
        <v>3723</v>
      </c>
      <c r="F3" s="113"/>
      <c r="G3" s="110" t="s">
        <v>441</v>
      </c>
      <c r="H3" s="110" t="s">
        <v>4104</v>
      </c>
      <c r="I3" s="110" t="s">
        <v>217</v>
      </c>
      <c r="J3" s="113"/>
      <c r="K3" s="110" t="s">
        <v>3146</v>
      </c>
      <c r="L3" s="110" t="s">
        <v>522</v>
      </c>
      <c r="M3" s="110" t="s">
        <v>4105</v>
      </c>
      <c r="N3" s="110"/>
      <c r="O3" s="110"/>
      <c r="P3" s="194" t="s">
        <v>4106</v>
      </c>
      <c r="Q3" s="135"/>
    </row>
    <row r="4">
      <c r="A4" s="109">
        <v>4902.0</v>
      </c>
      <c r="B4" s="110" t="s">
        <v>4107</v>
      </c>
      <c r="C4" s="110" t="s">
        <v>432</v>
      </c>
      <c r="D4" s="110" t="s">
        <v>3730</v>
      </c>
      <c r="E4" s="110" t="s">
        <v>3731</v>
      </c>
      <c r="F4" s="113"/>
      <c r="G4" s="110" t="s">
        <v>441</v>
      </c>
      <c r="H4" s="111"/>
      <c r="I4" s="110" t="s">
        <v>435</v>
      </c>
      <c r="J4" s="113"/>
      <c r="K4" s="110" t="s">
        <v>537</v>
      </c>
      <c r="L4" s="110" t="s">
        <v>538</v>
      </c>
      <c r="M4" s="110" t="s">
        <v>4108</v>
      </c>
      <c r="N4" s="110"/>
      <c r="O4" s="110"/>
      <c r="P4" s="110" t="s">
        <v>4109</v>
      </c>
      <c r="Q4" s="135"/>
    </row>
    <row r="5">
      <c r="A5" s="109">
        <v>9792.0</v>
      </c>
      <c r="B5" s="110" t="s">
        <v>4110</v>
      </c>
      <c r="C5" s="110" t="s">
        <v>432</v>
      </c>
      <c r="D5" s="110" t="s">
        <v>3730</v>
      </c>
      <c r="E5" s="110" t="s">
        <v>3731</v>
      </c>
      <c r="F5" s="113"/>
      <c r="G5" s="110" t="s">
        <v>441</v>
      </c>
      <c r="H5" s="112" t="s">
        <v>442</v>
      </c>
      <c r="I5" s="110" t="s">
        <v>18</v>
      </c>
      <c r="J5" s="113"/>
      <c r="K5" s="110" t="s">
        <v>4111</v>
      </c>
      <c r="L5" s="110" t="s">
        <v>562</v>
      </c>
      <c r="M5" s="110" t="s">
        <v>4112</v>
      </c>
      <c r="N5" s="110"/>
      <c r="O5" s="110"/>
      <c r="P5" s="110" t="s">
        <v>4113</v>
      </c>
      <c r="Q5" s="125" t="s">
        <v>4103</v>
      </c>
    </row>
    <row r="6">
      <c r="A6" s="109">
        <v>9793.0</v>
      </c>
      <c r="B6" s="110" t="s">
        <v>4114</v>
      </c>
      <c r="C6" s="110" t="s">
        <v>449</v>
      </c>
      <c r="D6" s="110" t="s">
        <v>3730</v>
      </c>
      <c r="E6" s="110" t="s">
        <v>3731</v>
      </c>
      <c r="F6" s="113"/>
      <c r="G6" s="110" t="s">
        <v>441</v>
      </c>
      <c r="H6" s="112" t="s">
        <v>592</v>
      </c>
      <c r="I6" s="110" t="s">
        <v>41</v>
      </c>
      <c r="J6" s="113"/>
      <c r="K6" s="110" t="s">
        <v>4115</v>
      </c>
      <c r="L6" s="110" t="s">
        <v>459</v>
      </c>
      <c r="M6" s="110" t="s">
        <v>4116</v>
      </c>
      <c r="N6" s="110"/>
      <c r="O6" s="110"/>
      <c r="P6" s="194" t="s">
        <v>4117</v>
      </c>
      <c r="Q6" s="195" t="s">
        <v>4107</v>
      </c>
    </row>
    <row r="7">
      <c r="A7" s="109">
        <v>9796.0</v>
      </c>
      <c r="B7" s="110" t="s">
        <v>4118</v>
      </c>
      <c r="C7" s="110" t="s">
        <v>432</v>
      </c>
      <c r="D7" s="110" t="s">
        <v>3730</v>
      </c>
      <c r="E7" s="110" t="s">
        <v>3731</v>
      </c>
      <c r="F7" s="113"/>
      <c r="G7" s="110" t="s">
        <v>441</v>
      </c>
      <c r="H7" s="110" t="s">
        <v>442</v>
      </c>
      <c r="I7" s="110" t="s">
        <v>18</v>
      </c>
      <c r="J7" s="113"/>
      <c r="K7" s="110" t="s">
        <v>4119</v>
      </c>
      <c r="L7" s="110" t="s">
        <v>4120</v>
      </c>
      <c r="M7" s="110" t="s">
        <v>4121</v>
      </c>
      <c r="N7" s="110"/>
      <c r="O7" s="110"/>
      <c r="P7" s="194" t="s">
        <v>4122</v>
      </c>
      <c r="Q7" s="195" t="s">
        <v>4123</v>
      </c>
    </row>
    <row r="8">
      <c r="A8" s="109">
        <v>8479.0</v>
      </c>
      <c r="B8" s="110" t="s">
        <v>3761</v>
      </c>
      <c r="C8" s="110" t="s">
        <v>449</v>
      </c>
      <c r="D8" s="110" t="s">
        <v>3762</v>
      </c>
      <c r="E8" s="110" t="s">
        <v>3763</v>
      </c>
      <c r="F8" s="113"/>
      <c r="G8" s="110" t="s">
        <v>433</v>
      </c>
      <c r="H8" s="110" t="s">
        <v>3630</v>
      </c>
      <c r="I8" s="110" t="s">
        <v>41</v>
      </c>
      <c r="J8" s="113"/>
      <c r="K8" s="110" t="s">
        <v>547</v>
      </c>
      <c r="L8" s="110" t="s">
        <v>4124</v>
      </c>
      <c r="M8" s="110" t="s">
        <v>4125</v>
      </c>
      <c r="N8" s="110"/>
      <c r="O8" s="110"/>
      <c r="P8" s="194" t="s">
        <v>4126</v>
      </c>
      <c r="Q8" s="195" t="s">
        <v>4110</v>
      </c>
    </row>
    <row r="9">
      <c r="A9" s="109">
        <v>8482.0</v>
      </c>
      <c r="B9" s="110" t="s">
        <v>3775</v>
      </c>
      <c r="C9" s="110" t="s">
        <v>432</v>
      </c>
      <c r="D9" s="110" t="s">
        <v>3762</v>
      </c>
      <c r="E9" s="110" t="s">
        <v>3763</v>
      </c>
      <c r="F9" s="113"/>
      <c r="G9" s="110" t="s">
        <v>450</v>
      </c>
      <c r="H9" s="111"/>
      <c r="I9" s="110" t="s">
        <v>234</v>
      </c>
      <c r="J9" s="113"/>
      <c r="K9" s="110" t="s">
        <v>4127</v>
      </c>
      <c r="L9" s="110" t="s">
        <v>4128</v>
      </c>
      <c r="M9" s="110" t="s">
        <v>2521</v>
      </c>
      <c r="N9" s="110"/>
      <c r="O9" s="110"/>
      <c r="P9" s="194" t="s">
        <v>4129</v>
      </c>
      <c r="Q9" s="195" t="s">
        <v>4130</v>
      </c>
    </row>
    <row r="10">
      <c r="A10" s="109">
        <v>8826.0</v>
      </c>
      <c r="B10" s="110" t="s">
        <v>4131</v>
      </c>
      <c r="C10" s="110" t="s">
        <v>449</v>
      </c>
      <c r="D10" s="110" t="s">
        <v>3762</v>
      </c>
      <c r="E10" s="110" t="s">
        <v>3763</v>
      </c>
      <c r="F10" s="113"/>
      <c r="G10" s="110" t="s">
        <v>2358</v>
      </c>
      <c r="H10" s="110" t="s">
        <v>671</v>
      </c>
      <c r="I10" s="110" t="s">
        <v>45</v>
      </c>
      <c r="J10" s="113"/>
      <c r="K10" s="110" t="s">
        <v>4132</v>
      </c>
      <c r="L10" s="110" t="s">
        <v>3581</v>
      </c>
      <c r="M10" s="110" t="s">
        <v>4133</v>
      </c>
      <c r="N10" s="110"/>
      <c r="O10" s="110"/>
      <c r="P10" s="194" t="s">
        <v>4134</v>
      </c>
      <c r="Q10" s="196" t="s">
        <v>4135</v>
      </c>
    </row>
    <row r="11">
      <c r="A11" s="109">
        <v>2007.0</v>
      </c>
      <c r="B11" s="110" t="s">
        <v>4136</v>
      </c>
      <c r="C11" s="110" t="s">
        <v>449</v>
      </c>
      <c r="D11" s="110" t="s">
        <v>3786</v>
      </c>
      <c r="E11" s="110" t="s">
        <v>3787</v>
      </c>
      <c r="F11" s="113"/>
      <c r="G11" s="110" t="s">
        <v>441</v>
      </c>
      <c r="H11" s="110" t="s">
        <v>1846</v>
      </c>
      <c r="I11" s="110" t="s">
        <v>41</v>
      </c>
      <c r="J11" s="113"/>
      <c r="K11" s="110" t="s">
        <v>1241</v>
      </c>
      <c r="L11" s="110" t="s">
        <v>489</v>
      </c>
      <c r="M11" s="110" t="s">
        <v>4137</v>
      </c>
      <c r="N11" s="110"/>
      <c r="O11" s="110"/>
      <c r="P11" s="194" t="s">
        <v>4138</v>
      </c>
      <c r="Q11" s="134" t="s">
        <v>4130</v>
      </c>
    </row>
    <row r="12">
      <c r="A12" s="109">
        <v>2008.0</v>
      </c>
      <c r="B12" s="110" t="s">
        <v>4139</v>
      </c>
      <c r="C12" s="110" t="s">
        <v>449</v>
      </c>
      <c r="D12" s="110" t="s">
        <v>3786</v>
      </c>
      <c r="E12" s="110" t="s">
        <v>3787</v>
      </c>
      <c r="F12" s="113"/>
      <c r="G12" s="110" t="s">
        <v>441</v>
      </c>
      <c r="H12" s="110" t="s">
        <v>1725</v>
      </c>
      <c r="I12" s="110" t="s">
        <v>41</v>
      </c>
      <c r="J12" s="113"/>
      <c r="K12" s="110" t="s">
        <v>1141</v>
      </c>
      <c r="L12" s="110" t="s">
        <v>489</v>
      </c>
      <c r="M12" s="110" t="s">
        <v>4140</v>
      </c>
      <c r="N12" s="110"/>
      <c r="O12" s="110"/>
      <c r="P12" s="194" t="s">
        <v>4141</v>
      </c>
      <c r="Q12" s="125" t="s">
        <v>4142</v>
      </c>
    </row>
    <row r="13">
      <c r="A13" s="109">
        <v>9197.0</v>
      </c>
      <c r="B13" s="110" t="s">
        <v>4143</v>
      </c>
      <c r="C13" s="110" t="s">
        <v>432</v>
      </c>
      <c r="D13" s="110" t="s">
        <v>3786</v>
      </c>
      <c r="E13" s="110" t="s">
        <v>3787</v>
      </c>
      <c r="F13" s="113"/>
      <c r="G13" s="110" t="s">
        <v>441</v>
      </c>
      <c r="H13" s="110" t="s">
        <v>1221</v>
      </c>
      <c r="I13" s="110" t="s">
        <v>18</v>
      </c>
      <c r="J13" s="113"/>
      <c r="K13" s="110" t="s">
        <v>537</v>
      </c>
      <c r="L13" s="110" t="s">
        <v>489</v>
      </c>
      <c r="M13" s="110" t="s">
        <v>4144</v>
      </c>
      <c r="N13" s="110"/>
      <c r="O13" s="110"/>
      <c r="P13" s="194" t="s">
        <v>4145</v>
      </c>
      <c r="Q13" s="119" t="s">
        <v>4114</v>
      </c>
    </row>
    <row r="14">
      <c r="A14" s="109">
        <v>8461.0</v>
      </c>
      <c r="B14" s="110" t="s">
        <v>4146</v>
      </c>
      <c r="C14" s="110" t="s">
        <v>432</v>
      </c>
      <c r="D14" s="110" t="s">
        <v>3808</v>
      </c>
      <c r="E14" s="110" t="s">
        <v>3809</v>
      </c>
      <c r="F14" s="113"/>
      <c r="G14" s="110" t="s">
        <v>441</v>
      </c>
      <c r="H14" s="110" t="s">
        <v>434</v>
      </c>
      <c r="I14" s="110" t="s">
        <v>850</v>
      </c>
      <c r="J14" s="113"/>
      <c r="K14" s="110" t="s">
        <v>475</v>
      </c>
      <c r="L14" s="110" t="s">
        <v>4147</v>
      </c>
      <c r="M14" s="110" t="s">
        <v>4148</v>
      </c>
      <c r="N14" s="110"/>
      <c r="O14" s="110"/>
      <c r="P14" s="194" t="s">
        <v>4149</v>
      </c>
      <c r="Q14" s="134" t="s">
        <v>4118</v>
      </c>
    </row>
    <row r="15">
      <c r="A15" s="109">
        <v>10193.0</v>
      </c>
      <c r="B15" s="110" t="s">
        <v>4150</v>
      </c>
      <c r="C15" s="110" t="s">
        <v>432</v>
      </c>
      <c r="D15" s="110" t="s">
        <v>3808</v>
      </c>
      <c r="E15" s="110" t="s">
        <v>3809</v>
      </c>
      <c r="F15" s="113"/>
      <c r="G15" s="110" t="s">
        <v>450</v>
      </c>
      <c r="H15" s="110" t="s">
        <v>434</v>
      </c>
      <c r="I15" s="110" t="s">
        <v>144</v>
      </c>
      <c r="J15" s="113"/>
      <c r="K15" s="111"/>
      <c r="L15" s="110" t="s">
        <v>4151</v>
      </c>
      <c r="M15" s="110" t="s">
        <v>4152</v>
      </c>
      <c r="N15" s="110"/>
      <c r="O15" s="110"/>
      <c r="P15" s="194" t="s">
        <v>4153</v>
      </c>
      <c r="Q15" s="197" t="s">
        <v>4154</v>
      </c>
    </row>
    <row r="16">
      <c r="A16" s="109">
        <v>10519.0</v>
      </c>
      <c r="B16" s="110" t="s">
        <v>4155</v>
      </c>
      <c r="C16" s="110" t="s">
        <v>432</v>
      </c>
      <c r="D16" s="110" t="s">
        <v>3808</v>
      </c>
      <c r="E16" s="110" t="s">
        <v>3809</v>
      </c>
      <c r="F16" s="113"/>
      <c r="G16" s="110" t="s">
        <v>433</v>
      </c>
      <c r="H16" s="110" t="s">
        <v>671</v>
      </c>
      <c r="I16" s="110" t="s">
        <v>18</v>
      </c>
      <c r="J16" s="113"/>
      <c r="K16" s="111"/>
      <c r="L16" s="110" t="s">
        <v>1789</v>
      </c>
      <c r="M16" s="110" t="s">
        <v>4156</v>
      </c>
      <c r="N16" s="110"/>
      <c r="O16" s="110"/>
      <c r="P16" s="194" t="s">
        <v>4157</v>
      </c>
      <c r="Q16" s="135"/>
    </row>
    <row r="17">
      <c r="A17" s="109">
        <v>1034.0</v>
      </c>
      <c r="B17" s="110" t="s">
        <v>3829</v>
      </c>
      <c r="C17" s="110" t="s">
        <v>449</v>
      </c>
      <c r="D17" s="110" t="s">
        <v>3830</v>
      </c>
      <c r="E17" s="110" t="s">
        <v>3831</v>
      </c>
      <c r="F17" s="113"/>
      <c r="G17" s="110" t="s">
        <v>441</v>
      </c>
      <c r="H17" s="110" t="s">
        <v>3686</v>
      </c>
      <c r="I17" s="110" t="s">
        <v>41</v>
      </c>
      <c r="J17" s="113"/>
      <c r="K17" s="110" t="s">
        <v>4158</v>
      </c>
      <c r="L17" s="110" t="s">
        <v>4159</v>
      </c>
      <c r="M17" s="110" t="s">
        <v>4160</v>
      </c>
      <c r="N17" s="110"/>
      <c r="O17" s="110"/>
      <c r="P17" s="194" t="s">
        <v>4161</v>
      </c>
      <c r="Q17" s="135"/>
    </row>
    <row r="18">
      <c r="A18" s="109">
        <v>8779.0</v>
      </c>
      <c r="B18" s="110" t="s">
        <v>4162</v>
      </c>
      <c r="C18" s="110" t="s">
        <v>432</v>
      </c>
      <c r="D18" s="110" t="s">
        <v>3830</v>
      </c>
      <c r="E18" s="110" t="s">
        <v>3831</v>
      </c>
      <c r="F18" s="113"/>
      <c r="G18" s="110" t="s">
        <v>450</v>
      </c>
      <c r="H18" s="112" t="s">
        <v>586</v>
      </c>
      <c r="I18" s="110" t="s">
        <v>234</v>
      </c>
      <c r="J18" s="113"/>
      <c r="K18" s="110" t="s">
        <v>450</v>
      </c>
      <c r="L18" s="110" t="s">
        <v>4163</v>
      </c>
      <c r="M18" s="110" t="s">
        <v>2409</v>
      </c>
      <c r="N18" s="110"/>
      <c r="O18" s="110"/>
      <c r="P18" s="110" t="s">
        <v>4164</v>
      </c>
      <c r="Q18" s="135"/>
    </row>
    <row r="19">
      <c r="A19" s="109">
        <v>9764.0</v>
      </c>
      <c r="B19" s="110" t="s">
        <v>4165</v>
      </c>
      <c r="C19" s="110" t="s">
        <v>432</v>
      </c>
      <c r="D19" s="110" t="s">
        <v>3830</v>
      </c>
      <c r="E19" s="110" t="s">
        <v>3831</v>
      </c>
      <c r="F19" s="113"/>
      <c r="G19" s="110" t="s">
        <v>441</v>
      </c>
      <c r="H19" s="112" t="s">
        <v>434</v>
      </c>
      <c r="I19" s="110" t="s">
        <v>144</v>
      </c>
      <c r="J19" s="113"/>
      <c r="K19" s="110" t="s">
        <v>620</v>
      </c>
      <c r="L19" s="110" t="s">
        <v>459</v>
      </c>
      <c r="M19" s="110" t="s">
        <v>3535</v>
      </c>
      <c r="N19" s="110"/>
      <c r="O19" s="110"/>
      <c r="P19" s="110" t="s">
        <v>4166</v>
      </c>
      <c r="Q19" s="135"/>
    </row>
    <row r="20">
      <c r="A20" s="109">
        <v>10328.0</v>
      </c>
      <c r="B20" s="110" t="s">
        <v>4167</v>
      </c>
      <c r="C20" s="110" t="s">
        <v>432</v>
      </c>
      <c r="D20" s="110" t="s">
        <v>3830</v>
      </c>
      <c r="E20" s="110" t="s">
        <v>3831</v>
      </c>
      <c r="F20" s="112" t="s">
        <v>441</v>
      </c>
      <c r="G20" s="110" t="s">
        <v>441</v>
      </c>
      <c r="H20" s="112" t="s">
        <v>4168</v>
      </c>
      <c r="I20" s="110" t="s">
        <v>234</v>
      </c>
      <c r="J20" s="113"/>
      <c r="K20" s="110" t="s">
        <v>4169</v>
      </c>
      <c r="L20" s="110" t="s">
        <v>511</v>
      </c>
      <c r="M20" s="110" t="s">
        <v>4170</v>
      </c>
      <c r="N20" s="110"/>
      <c r="O20" s="110"/>
      <c r="P20" s="110" t="s">
        <v>4171</v>
      </c>
      <c r="Q20" s="135"/>
    </row>
    <row r="21">
      <c r="A21" s="109">
        <v>10333.0</v>
      </c>
      <c r="B21" s="110" t="s">
        <v>3853</v>
      </c>
      <c r="C21" s="110" t="s">
        <v>432</v>
      </c>
      <c r="D21" s="110" t="s">
        <v>3830</v>
      </c>
      <c r="E21" s="110" t="s">
        <v>3831</v>
      </c>
      <c r="F21" s="113"/>
      <c r="G21" s="110" t="s">
        <v>441</v>
      </c>
      <c r="H21" s="110" t="s">
        <v>4172</v>
      </c>
      <c r="I21" s="110" t="s">
        <v>3022</v>
      </c>
      <c r="J21" s="113"/>
      <c r="K21" s="110" t="s">
        <v>4173</v>
      </c>
      <c r="L21" s="110" t="s">
        <v>4174</v>
      </c>
      <c r="M21" s="110" t="s">
        <v>4175</v>
      </c>
      <c r="N21" s="110"/>
      <c r="O21" s="110"/>
      <c r="P21" s="110" t="s">
        <v>4176</v>
      </c>
      <c r="Q21" s="135"/>
    </row>
    <row r="22">
      <c r="A22" s="109">
        <v>1042.0</v>
      </c>
      <c r="B22" s="110" t="s">
        <v>4177</v>
      </c>
      <c r="C22" s="110" t="s">
        <v>449</v>
      </c>
      <c r="D22" s="110" t="s">
        <v>3863</v>
      </c>
      <c r="E22" s="110" t="s">
        <v>3864</v>
      </c>
      <c r="F22" s="112" t="s">
        <v>441</v>
      </c>
      <c r="G22" s="110" t="s">
        <v>441</v>
      </c>
      <c r="H22" s="110" t="s">
        <v>4178</v>
      </c>
      <c r="I22" s="110" t="s">
        <v>41</v>
      </c>
      <c r="J22" s="113"/>
      <c r="K22" s="110" t="s">
        <v>547</v>
      </c>
      <c r="L22" s="110" t="s">
        <v>4179</v>
      </c>
      <c r="M22" s="110" t="s">
        <v>4180</v>
      </c>
      <c r="N22" s="110"/>
      <c r="O22" s="110"/>
      <c r="P22" s="110" t="s">
        <v>4181</v>
      </c>
      <c r="Q22" s="135"/>
    </row>
    <row r="23">
      <c r="A23" s="109">
        <v>9493.0</v>
      </c>
      <c r="B23" s="110" t="s">
        <v>3870</v>
      </c>
      <c r="C23" s="110" t="s">
        <v>432</v>
      </c>
      <c r="D23" s="110" t="s">
        <v>3863</v>
      </c>
      <c r="E23" s="110" t="s">
        <v>3864</v>
      </c>
      <c r="F23" s="113"/>
      <c r="G23" s="110" t="s">
        <v>433</v>
      </c>
      <c r="H23" s="110" t="s">
        <v>4182</v>
      </c>
      <c r="I23" s="110" t="s">
        <v>234</v>
      </c>
      <c r="J23" s="112" t="s">
        <v>4183</v>
      </c>
      <c r="K23" s="110" t="s">
        <v>4184</v>
      </c>
      <c r="L23" s="110" t="s">
        <v>2470</v>
      </c>
      <c r="M23" s="110" t="s">
        <v>4185</v>
      </c>
      <c r="N23" s="110"/>
      <c r="O23" s="110"/>
      <c r="P23" s="194" t="s">
        <v>4186</v>
      </c>
      <c r="Q23" s="29" t="s">
        <v>4136</v>
      </c>
    </row>
    <row r="24">
      <c r="A24" s="109">
        <v>9522.0</v>
      </c>
      <c r="B24" s="110" t="s">
        <v>4187</v>
      </c>
      <c r="C24" s="110" t="s">
        <v>449</v>
      </c>
      <c r="D24" s="110" t="s">
        <v>3863</v>
      </c>
      <c r="E24" s="110" t="s">
        <v>3864</v>
      </c>
      <c r="F24" s="113"/>
      <c r="G24" s="110" t="s">
        <v>441</v>
      </c>
      <c r="H24" s="110" t="s">
        <v>1725</v>
      </c>
      <c r="I24" s="110" t="s">
        <v>45</v>
      </c>
      <c r="J24" s="113"/>
      <c r="K24" s="110" t="s">
        <v>4188</v>
      </c>
      <c r="L24" s="110" t="s">
        <v>593</v>
      </c>
      <c r="M24" s="110" t="s">
        <v>4189</v>
      </c>
      <c r="N24" s="110"/>
      <c r="O24" s="110"/>
      <c r="P24" s="110" t="s">
        <v>4190</v>
      </c>
      <c r="Q24" s="135"/>
    </row>
    <row r="25">
      <c r="A25" s="109">
        <v>10490.0</v>
      </c>
      <c r="B25" s="110" t="s">
        <v>4191</v>
      </c>
      <c r="C25" s="110" t="s">
        <v>432</v>
      </c>
      <c r="D25" s="110" t="s">
        <v>3863</v>
      </c>
      <c r="E25" s="110" t="s">
        <v>3864</v>
      </c>
      <c r="F25" s="113"/>
      <c r="G25" s="110" t="s">
        <v>441</v>
      </c>
      <c r="H25" s="110" t="s">
        <v>573</v>
      </c>
      <c r="I25" s="110" t="s">
        <v>234</v>
      </c>
      <c r="J25" s="113"/>
      <c r="K25" s="110" t="s">
        <v>4192</v>
      </c>
      <c r="L25" s="110" t="s">
        <v>4193</v>
      </c>
      <c r="M25" s="110" t="s">
        <v>4194</v>
      </c>
      <c r="N25" s="110"/>
      <c r="O25" s="110"/>
      <c r="P25" s="110" t="s">
        <v>4195</v>
      </c>
      <c r="Q25" s="135"/>
    </row>
    <row r="26">
      <c r="A26" s="109">
        <v>10469.0</v>
      </c>
      <c r="B26" s="110" t="s">
        <v>4196</v>
      </c>
      <c r="C26" s="110" t="s">
        <v>432</v>
      </c>
      <c r="D26" s="110" t="s">
        <v>3898</v>
      </c>
      <c r="E26" s="110" t="s">
        <v>3899</v>
      </c>
      <c r="F26" s="113"/>
      <c r="G26" s="110" t="s">
        <v>433</v>
      </c>
      <c r="H26" s="110" t="s">
        <v>3686</v>
      </c>
      <c r="I26" s="110" t="s">
        <v>137</v>
      </c>
      <c r="J26" s="113"/>
      <c r="K26" s="111"/>
      <c r="L26" s="110" t="s">
        <v>1727</v>
      </c>
      <c r="M26" s="110" t="s">
        <v>4197</v>
      </c>
      <c r="N26" s="110"/>
      <c r="O26" s="110"/>
      <c r="P26" s="110" t="s">
        <v>4198</v>
      </c>
      <c r="Q26" s="135"/>
    </row>
    <row r="27">
      <c r="A27" s="109">
        <v>1059.0</v>
      </c>
      <c r="B27" s="110" t="s">
        <v>4199</v>
      </c>
      <c r="C27" s="110" t="s">
        <v>449</v>
      </c>
      <c r="D27" s="110" t="s">
        <v>3906</v>
      </c>
      <c r="E27" s="110" t="s">
        <v>3907</v>
      </c>
      <c r="F27" s="113"/>
      <c r="G27" s="110" t="s">
        <v>441</v>
      </c>
      <c r="H27" s="110" t="s">
        <v>3686</v>
      </c>
      <c r="I27" s="110" t="s">
        <v>41</v>
      </c>
      <c r="J27" s="113"/>
      <c r="K27" s="110" t="s">
        <v>659</v>
      </c>
      <c r="L27" s="110" t="s">
        <v>489</v>
      </c>
      <c r="M27" s="110" t="s">
        <v>4200</v>
      </c>
      <c r="N27" s="110"/>
      <c r="O27" s="110"/>
      <c r="P27" s="110" t="s">
        <v>4201</v>
      </c>
      <c r="Q27" s="135"/>
    </row>
    <row r="28">
      <c r="A28" s="109">
        <v>8488.0</v>
      </c>
      <c r="B28" s="110" t="s">
        <v>4202</v>
      </c>
      <c r="C28" s="110" t="s">
        <v>449</v>
      </c>
      <c r="D28" s="110" t="s">
        <v>3914</v>
      </c>
      <c r="E28" s="110" t="s">
        <v>3915</v>
      </c>
      <c r="F28" s="113"/>
      <c r="G28" s="110" t="s">
        <v>441</v>
      </c>
      <c r="H28" s="110" t="s">
        <v>434</v>
      </c>
      <c r="I28" s="110" t="s">
        <v>41</v>
      </c>
      <c r="J28" s="113"/>
      <c r="K28" s="110" t="s">
        <v>643</v>
      </c>
      <c r="L28" s="110" t="s">
        <v>489</v>
      </c>
      <c r="M28" s="110" t="s">
        <v>4203</v>
      </c>
      <c r="N28" s="110"/>
      <c r="O28" s="110"/>
      <c r="P28" s="110" t="s">
        <v>4204</v>
      </c>
      <c r="Q28" s="135"/>
    </row>
    <row r="29">
      <c r="A29" s="109">
        <v>1060.0</v>
      </c>
      <c r="B29" s="110" t="s">
        <v>4205</v>
      </c>
      <c r="C29" s="110" t="s">
        <v>432</v>
      </c>
      <c r="D29" s="110" t="s">
        <v>3921</v>
      </c>
      <c r="E29" s="110" t="s">
        <v>3922</v>
      </c>
      <c r="F29" s="112" t="s">
        <v>441</v>
      </c>
      <c r="G29" s="110" t="s">
        <v>450</v>
      </c>
      <c r="H29" s="110" t="s">
        <v>4206</v>
      </c>
      <c r="I29" s="110" t="s">
        <v>850</v>
      </c>
      <c r="J29" s="113"/>
      <c r="K29" s="112" t="s">
        <v>1315</v>
      </c>
      <c r="L29" s="110" t="s">
        <v>4207</v>
      </c>
      <c r="M29" s="110" t="s">
        <v>4208</v>
      </c>
      <c r="N29" s="110"/>
      <c r="O29" s="110"/>
      <c r="P29" s="110" t="s">
        <v>4209</v>
      </c>
      <c r="Q29" s="135"/>
    </row>
    <row r="30">
      <c r="A30" s="109">
        <v>1073.0</v>
      </c>
      <c r="B30" s="110" t="s">
        <v>4210</v>
      </c>
      <c r="C30" s="110" t="s">
        <v>449</v>
      </c>
      <c r="D30" s="110" t="s">
        <v>3929</v>
      </c>
      <c r="E30" s="110" t="s">
        <v>3930</v>
      </c>
      <c r="F30" s="113"/>
      <c r="G30" s="110" t="s">
        <v>441</v>
      </c>
      <c r="H30" s="110" t="s">
        <v>4211</v>
      </c>
      <c r="I30" s="110" t="s">
        <v>41</v>
      </c>
      <c r="J30" s="113"/>
      <c r="K30" s="112" t="s">
        <v>476</v>
      </c>
      <c r="L30" s="111"/>
      <c r="M30" s="110" t="s">
        <v>4212</v>
      </c>
      <c r="N30" s="110"/>
      <c r="O30" s="110"/>
      <c r="P30" s="110" t="s">
        <v>4213</v>
      </c>
      <c r="Q30" s="135"/>
    </row>
    <row r="31">
      <c r="A31" s="109">
        <v>1079.0</v>
      </c>
      <c r="B31" s="110" t="s">
        <v>4214</v>
      </c>
      <c r="C31" s="110" t="s">
        <v>449</v>
      </c>
      <c r="D31" s="110" t="s">
        <v>3929</v>
      </c>
      <c r="E31" s="110" t="s">
        <v>3930</v>
      </c>
      <c r="F31" s="113"/>
      <c r="G31" s="110" t="s">
        <v>441</v>
      </c>
      <c r="H31" s="110" t="s">
        <v>526</v>
      </c>
      <c r="I31" s="110" t="s">
        <v>41</v>
      </c>
      <c r="J31" s="113"/>
      <c r="K31" s="110" t="s">
        <v>643</v>
      </c>
      <c r="L31" s="110" t="s">
        <v>459</v>
      </c>
      <c r="M31" s="110" t="s">
        <v>4215</v>
      </c>
      <c r="N31" s="110"/>
      <c r="O31" s="110"/>
      <c r="P31" s="110" t="s">
        <v>4216</v>
      </c>
      <c r="Q31" s="135"/>
    </row>
    <row r="32">
      <c r="A32" s="109">
        <v>1080.0</v>
      </c>
      <c r="B32" s="110" t="s">
        <v>4217</v>
      </c>
      <c r="C32" s="110" t="s">
        <v>449</v>
      </c>
      <c r="D32" s="110" t="s">
        <v>3929</v>
      </c>
      <c r="E32" s="110" t="s">
        <v>3930</v>
      </c>
      <c r="F32" s="113"/>
      <c r="G32" s="110" t="s">
        <v>441</v>
      </c>
      <c r="H32" s="110" t="s">
        <v>4218</v>
      </c>
      <c r="I32" s="110" t="s">
        <v>41</v>
      </c>
      <c r="J32" s="113"/>
      <c r="K32" s="110" t="s">
        <v>1731</v>
      </c>
      <c r="L32" s="110" t="s">
        <v>2984</v>
      </c>
      <c r="M32" s="110" t="s">
        <v>4219</v>
      </c>
      <c r="N32" s="110"/>
      <c r="O32" s="110"/>
      <c r="P32" s="110" t="s">
        <v>4220</v>
      </c>
      <c r="Q32" s="135"/>
    </row>
    <row r="33">
      <c r="A33" s="109">
        <v>9494.0</v>
      </c>
      <c r="B33" s="110" t="s">
        <v>4221</v>
      </c>
      <c r="C33" s="110" t="s">
        <v>432</v>
      </c>
      <c r="D33" s="110" t="s">
        <v>3929</v>
      </c>
      <c r="E33" s="110" t="s">
        <v>3930</v>
      </c>
      <c r="F33" s="113"/>
      <c r="G33" s="110" t="s">
        <v>433</v>
      </c>
      <c r="H33" s="110" t="s">
        <v>4222</v>
      </c>
      <c r="I33" s="110" t="s">
        <v>234</v>
      </c>
      <c r="J33" s="112" t="s">
        <v>4223</v>
      </c>
      <c r="K33" s="110" t="s">
        <v>4224</v>
      </c>
      <c r="L33" s="110" t="s">
        <v>4225</v>
      </c>
      <c r="M33" s="110" t="s">
        <v>4226</v>
      </c>
      <c r="N33" s="110"/>
      <c r="O33" s="110"/>
      <c r="P33" s="110" t="s">
        <v>4227</v>
      </c>
      <c r="Q33" s="135"/>
    </row>
    <row r="34">
      <c r="A34" s="109">
        <v>10491.0</v>
      </c>
      <c r="B34" s="110" t="s">
        <v>3963</v>
      </c>
      <c r="C34" s="110" t="s">
        <v>432</v>
      </c>
      <c r="D34" s="110" t="s">
        <v>3929</v>
      </c>
      <c r="E34" s="110" t="s">
        <v>3930</v>
      </c>
      <c r="F34" s="111"/>
      <c r="G34" s="110" t="s">
        <v>441</v>
      </c>
      <c r="H34" s="110" t="s">
        <v>434</v>
      </c>
      <c r="I34" s="110" t="s">
        <v>234</v>
      </c>
      <c r="J34" s="113"/>
      <c r="K34" s="110" t="s">
        <v>4228</v>
      </c>
      <c r="L34" s="110" t="s">
        <v>4229</v>
      </c>
      <c r="M34" s="110" t="s">
        <v>2406</v>
      </c>
      <c r="N34" s="110"/>
      <c r="O34" s="110"/>
      <c r="P34" s="110" t="s">
        <v>4230</v>
      </c>
      <c r="Q34" s="135"/>
    </row>
    <row r="35">
      <c r="A35" s="109">
        <v>9118.0</v>
      </c>
      <c r="B35" s="110" t="s">
        <v>4231</v>
      </c>
      <c r="C35" s="110" t="s">
        <v>432</v>
      </c>
      <c r="D35" s="110" t="s">
        <v>3975</v>
      </c>
      <c r="E35" s="110" t="s">
        <v>3976</v>
      </c>
      <c r="F35" s="113"/>
      <c r="G35" s="110" t="s">
        <v>450</v>
      </c>
      <c r="H35" s="110" t="s">
        <v>634</v>
      </c>
      <c r="I35" s="110" t="s">
        <v>18</v>
      </c>
      <c r="J35" s="113"/>
      <c r="K35" s="110" t="s">
        <v>4232</v>
      </c>
      <c r="L35" s="110" t="s">
        <v>4233</v>
      </c>
      <c r="M35" s="110" t="s">
        <v>4234</v>
      </c>
      <c r="N35" s="110"/>
      <c r="O35" s="110"/>
      <c r="P35" s="110" t="s">
        <v>4235</v>
      </c>
      <c r="Q35" s="135"/>
    </row>
    <row r="36">
      <c r="A36" s="109">
        <v>1092.0</v>
      </c>
      <c r="B36" s="110" t="s">
        <v>4236</v>
      </c>
      <c r="C36" s="110" t="s">
        <v>449</v>
      </c>
      <c r="D36" s="110" t="s">
        <v>698</v>
      </c>
      <c r="E36" s="110" t="s">
        <v>699</v>
      </c>
      <c r="F36" s="110" t="s">
        <v>433</v>
      </c>
      <c r="G36" s="110" t="s">
        <v>433</v>
      </c>
      <c r="H36" s="110" t="s">
        <v>3708</v>
      </c>
      <c r="I36" s="110" t="s">
        <v>41</v>
      </c>
      <c r="J36" s="113"/>
      <c r="K36" s="110" t="s">
        <v>635</v>
      </c>
      <c r="L36" s="110" t="s">
        <v>1736</v>
      </c>
      <c r="M36" s="110" t="s">
        <v>4237</v>
      </c>
      <c r="N36" s="110"/>
      <c r="O36" s="110"/>
      <c r="P36" s="110" t="s">
        <v>4238</v>
      </c>
      <c r="Q36" s="135"/>
    </row>
    <row r="37">
      <c r="A37" s="109">
        <v>1093.0</v>
      </c>
      <c r="B37" s="110" t="s">
        <v>4239</v>
      </c>
      <c r="C37" s="110" t="s">
        <v>449</v>
      </c>
      <c r="D37" s="110" t="s">
        <v>698</v>
      </c>
      <c r="E37" s="110" t="s">
        <v>699</v>
      </c>
      <c r="F37" s="113"/>
      <c r="G37" s="110" t="s">
        <v>450</v>
      </c>
      <c r="H37" s="110" t="s">
        <v>4206</v>
      </c>
      <c r="I37" s="110" t="s">
        <v>41</v>
      </c>
      <c r="J37" s="111"/>
      <c r="K37" s="110" t="s">
        <v>4240</v>
      </c>
      <c r="L37" s="110" t="s">
        <v>1876</v>
      </c>
      <c r="M37" s="110" t="s">
        <v>4241</v>
      </c>
      <c r="N37" s="110"/>
      <c r="O37" s="110"/>
      <c r="P37" s="110" t="s">
        <v>4242</v>
      </c>
      <c r="Q37" s="135"/>
    </row>
    <row r="38">
      <c r="A38" s="109">
        <v>1094.0</v>
      </c>
      <c r="B38" s="110" t="s">
        <v>4243</v>
      </c>
      <c r="C38" s="110" t="s">
        <v>432</v>
      </c>
      <c r="D38" s="110" t="s">
        <v>698</v>
      </c>
      <c r="E38" s="110" t="s">
        <v>699</v>
      </c>
      <c r="F38" s="112" t="s">
        <v>441</v>
      </c>
      <c r="G38" s="110" t="s">
        <v>433</v>
      </c>
      <c r="H38" s="110" t="s">
        <v>4244</v>
      </c>
      <c r="I38" s="110" t="s">
        <v>4245</v>
      </c>
      <c r="J38" s="113"/>
      <c r="K38" s="110" t="s">
        <v>635</v>
      </c>
      <c r="L38" s="110" t="s">
        <v>4246</v>
      </c>
      <c r="M38" s="110" t="s">
        <v>4247</v>
      </c>
      <c r="N38" s="110"/>
      <c r="O38" s="110"/>
      <c r="P38" s="110" t="s">
        <v>4248</v>
      </c>
      <c r="Q38" s="135"/>
    </row>
    <row r="39">
      <c r="A39" s="109">
        <v>1095.0</v>
      </c>
      <c r="B39" s="110" t="s">
        <v>4249</v>
      </c>
      <c r="C39" s="110" t="s">
        <v>432</v>
      </c>
      <c r="D39" s="110" t="s">
        <v>698</v>
      </c>
      <c r="E39" s="110" t="s">
        <v>699</v>
      </c>
      <c r="F39" s="113"/>
      <c r="G39" s="110" t="s">
        <v>441</v>
      </c>
      <c r="H39" s="110" t="s">
        <v>3708</v>
      </c>
      <c r="I39" s="110" t="s">
        <v>234</v>
      </c>
      <c r="J39" s="113"/>
      <c r="K39" s="110" t="s">
        <v>4250</v>
      </c>
      <c r="L39" s="110" t="s">
        <v>489</v>
      </c>
      <c r="M39" s="110" t="s">
        <v>4251</v>
      </c>
      <c r="N39" s="110"/>
      <c r="O39" s="110"/>
      <c r="P39" s="110" t="s">
        <v>4252</v>
      </c>
      <c r="Q39" s="135"/>
    </row>
    <row r="40">
      <c r="A40" s="109">
        <v>1100.0</v>
      </c>
      <c r="B40" s="110" t="s">
        <v>4253</v>
      </c>
      <c r="C40" s="110" t="s">
        <v>449</v>
      </c>
      <c r="D40" s="110" t="s">
        <v>698</v>
      </c>
      <c r="E40" s="110" t="s">
        <v>699</v>
      </c>
      <c r="F40" s="113"/>
      <c r="G40" s="110" t="s">
        <v>441</v>
      </c>
      <c r="H40" s="110" t="s">
        <v>2501</v>
      </c>
      <c r="I40" s="110" t="s">
        <v>41</v>
      </c>
      <c r="J40" s="113"/>
      <c r="K40" s="112" t="s">
        <v>542</v>
      </c>
      <c r="L40" s="110" t="s">
        <v>538</v>
      </c>
      <c r="M40" s="110" t="s">
        <v>4254</v>
      </c>
      <c r="N40" s="110"/>
      <c r="O40" s="110"/>
      <c r="P40" s="110" t="s">
        <v>4255</v>
      </c>
      <c r="Q40" s="135"/>
    </row>
    <row r="41">
      <c r="A41" s="109">
        <v>1813.0</v>
      </c>
      <c r="B41" s="110" t="s">
        <v>4256</v>
      </c>
      <c r="C41" s="110" t="s">
        <v>432</v>
      </c>
      <c r="D41" s="110" t="s">
        <v>698</v>
      </c>
      <c r="E41" s="110" t="s">
        <v>699</v>
      </c>
      <c r="F41" s="113"/>
      <c r="G41" s="110" t="s">
        <v>433</v>
      </c>
      <c r="H41" s="110" t="s">
        <v>4257</v>
      </c>
      <c r="I41" s="110" t="s">
        <v>435</v>
      </c>
      <c r="J41" s="113"/>
      <c r="K41" s="110" t="s">
        <v>547</v>
      </c>
      <c r="L41" s="110" t="s">
        <v>511</v>
      </c>
      <c r="M41" s="110" t="s">
        <v>4258</v>
      </c>
      <c r="N41" s="110"/>
      <c r="O41" s="110"/>
      <c r="P41" s="110" t="s">
        <v>4259</v>
      </c>
      <c r="Q41" s="135"/>
    </row>
    <row r="42">
      <c r="A42" s="109">
        <v>8774.0</v>
      </c>
      <c r="B42" s="110" t="s">
        <v>4260</v>
      </c>
      <c r="C42" s="110" t="s">
        <v>449</v>
      </c>
      <c r="D42" s="110" t="s">
        <v>698</v>
      </c>
      <c r="E42" s="110" t="s">
        <v>699</v>
      </c>
      <c r="F42" s="113"/>
      <c r="G42" s="110" t="s">
        <v>433</v>
      </c>
      <c r="H42" s="110" t="s">
        <v>4261</v>
      </c>
      <c r="I42" s="110" t="s">
        <v>41</v>
      </c>
      <c r="J42" s="113"/>
      <c r="K42" s="110" t="s">
        <v>4262</v>
      </c>
      <c r="L42" s="110" t="s">
        <v>4263</v>
      </c>
      <c r="M42" s="110" t="s">
        <v>4264</v>
      </c>
      <c r="N42" s="110"/>
      <c r="O42" s="110"/>
      <c r="P42" s="110" t="s">
        <v>4265</v>
      </c>
      <c r="Q42" s="135"/>
    </row>
    <row r="43">
      <c r="A43" s="109">
        <v>8788.0</v>
      </c>
      <c r="B43" s="110" t="s">
        <v>4266</v>
      </c>
      <c r="C43" s="110" t="s">
        <v>432</v>
      </c>
      <c r="D43" s="110" t="s">
        <v>698</v>
      </c>
      <c r="E43" s="110" t="s">
        <v>699</v>
      </c>
      <c r="F43" s="110" t="s">
        <v>433</v>
      </c>
      <c r="G43" s="110" t="s">
        <v>433</v>
      </c>
      <c r="H43" s="110" t="s">
        <v>634</v>
      </c>
      <c r="I43" s="110" t="s">
        <v>234</v>
      </c>
      <c r="J43" s="113"/>
      <c r="K43" s="110" t="s">
        <v>537</v>
      </c>
      <c r="L43" s="110" t="s">
        <v>459</v>
      </c>
      <c r="M43" s="110" t="s">
        <v>4267</v>
      </c>
      <c r="N43" s="110"/>
      <c r="O43" s="110"/>
      <c r="P43" s="110" t="s">
        <v>4268</v>
      </c>
      <c r="Q43" s="135"/>
    </row>
    <row r="44">
      <c r="A44" s="109">
        <v>8792.0</v>
      </c>
      <c r="B44" s="110" t="s">
        <v>4269</v>
      </c>
      <c r="C44" s="110" t="s">
        <v>432</v>
      </c>
      <c r="D44" s="110" t="s">
        <v>698</v>
      </c>
      <c r="E44" s="110" t="s">
        <v>699</v>
      </c>
      <c r="F44" s="113"/>
      <c r="G44" s="110" t="s">
        <v>450</v>
      </c>
      <c r="H44" s="111"/>
      <c r="I44" s="110" t="s">
        <v>234</v>
      </c>
      <c r="J44" s="113"/>
      <c r="K44" s="110" t="s">
        <v>450</v>
      </c>
      <c r="L44" s="112" t="s">
        <v>4270</v>
      </c>
      <c r="M44" s="110" t="s">
        <v>4271</v>
      </c>
      <c r="N44" s="110"/>
      <c r="O44" s="110"/>
      <c r="P44" s="110" t="s">
        <v>4272</v>
      </c>
      <c r="Q44" s="135"/>
    </row>
    <row r="45">
      <c r="A45" s="109">
        <v>8794.0</v>
      </c>
      <c r="B45" s="110" t="s">
        <v>4273</v>
      </c>
      <c r="C45" s="110" t="s">
        <v>432</v>
      </c>
      <c r="D45" s="110" t="s">
        <v>698</v>
      </c>
      <c r="E45" s="110" t="s">
        <v>699</v>
      </c>
      <c r="F45" s="113"/>
      <c r="G45" s="110" t="s">
        <v>433</v>
      </c>
      <c r="H45" s="110" t="s">
        <v>434</v>
      </c>
      <c r="I45" s="110" t="s">
        <v>18</v>
      </c>
      <c r="J45" s="113"/>
      <c r="K45" s="110" t="s">
        <v>4274</v>
      </c>
      <c r="L45" s="110" t="s">
        <v>511</v>
      </c>
      <c r="M45" s="110" t="s">
        <v>4275</v>
      </c>
      <c r="N45" s="110"/>
      <c r="O45" s="110"/>
      <c r="P45" s="110" t="s">
        <v>4276</v>
      </c>
      <c r="Q45" s="135"/>
    </row>
    <row r="46">
      <c r="A46" s="109">
        <v>9479.0</v>
      </c>
      <c r="B46" s="110" t="s">
        <v>4277</v>
      </c>
      <c r="C46" s="110" t="s">
        <v>432</v>
      </c>
      <c r="D46" s="110" t="s">
        <v>698</v>
      </c>
      <c r="E46" s="110" t="s">
        <v>699</v>
      </c>
      <c r="F46" s="113"/>
      <c r="G46" s="110" t="s">
        <v>433</v>
      </c>
      <c r="H46" s="110" t="s">
        <v>4278</v>
      </c>
      <c r="I46" s="110" t="s">
        <v>18</v>
      </c>
      <c r="J46" s="113"/>
      <c r="K46" s="111"/>
      <c r="L46" s="110" t="s">
        <v>511</v>
      </c>
      <c r="M46" s="110" t="s">
        <v>4279</v>
      </c>
      <c r="N46" s="110"/>
      <c r="O46" s="110"/>
      <c r="P46" s="110" t="s">
        <v>4280</v>
      </c>
      <c r="Q46" s="135"/>
    </row>
    <row r="47">
      <c r="A47" s="109">
        <v>9603.0</v>
      </c>
      <c r="B47" s="110" t="s">
        <v>4281</v>
      </c>
      <c r="C47" s="110" t="s">
        <v>432</v>
      </c>
      <c r="D47" s="110" t="s">
        <v>698</v>
      </c>
      <c r="E47" s="110" t="s">
        <v>699</v>
      </c>
      <c r="F47" s="113"/>
      <c r="G47" s="110" t="s">
        <v>441</v>
      </c>
      <c r="H47" s="110" t="s">
        <v>592</v>
      </c>
      <c r="I47" s="110" t="s">
        <v>18</v>
      </c>
      <c r="J47" s="111"/>
      <c r="K47" s="110" t="s">
        <v>4282</v>
      </c>
      <c r="L47" s="110" t="s">
        <v>660</v>
      </c>
      <c r="M47" s="110" t="s">
        <v>4283</v>
      </c>
      <c r="N47" s="110"/>
      <c r="O47" s="110"/>
      <c r="P47" s="110" t="s">
        <v>4284</v>
      </c>
      <c r="Q47" s="135"/>
    </row>
    <row r="48">
      <c r="A48" s="109">
        <v>9737.0</v>
      </c>
      <c r="B48" s="110" t="s">
        <v>4285</v>
      </c>
      <c r="C48" s="110" t="s">
        <v>432</v>
      </c>
      <c r="D48" s="110" t="s">
        <v>698</v>
      </c>
      <c r="E48" s="110" t="s">
        <v>699</v>
      </c>
      <c r="F48" s="113"/>
      <c r="G48" s="110" t="s">
        <v>441</v>
      </c>
      <c r="H48" s="110" t="s">
        <v>4286</v>
      </c>
      <c r="I48" s="110" t="s">
        <v>234</v>
      </c>
      <c r="J48" s="112" t="s">
        <v>4287</v>
      </c>
      <c r="K48" s="110" t="s">
        <v>4288</v>
      </c>
      <c r="L48" s="110" t="s">
        <v>465</v>
      </c>
      <c r="M48" s="110" t="s">
        <v>4289</v>
      </c>
      <c r="N48" s="110"/>
      <c r="O48" s="110"/>
      <c r="P48" s="110" t="s">
        <v>4290</v>
      </c>
      <c r="Q48" s="135"/>
    </row>
    <row r="49">
      <c r="A49" s="109">
        <v>9862.0</v>
      </c>
      <c r="B49" s="110" t="s">
        <v>4291</v>
      </c>
      <c r="C49" s="110" t="s">
        <v>432</v>
      </c>
      <c r="D49" s="110" t="s">
        <v>698</v>
      </c>
      <c r="E49" s="110" t="s">
        <v>699</v>
      </c>
      <c r="F49" s="113"/>
      <c r="G49" s="110" t="s">
        <v>441</v>
      </c>
      <c r="H49" s="110" t="s">
        <v>434</v>
      </c>
      <c r="I49" s="110" t="s">
        <v>234</v>
      </c>
      <c r="J49" s="113"/>
      <c r="K49" s="111"/>
      <c r="L49" s="110" t="s">
        <v>489</v>
      </c>
      <c r="M49" s="110" t="s">
        <v>4292</v>
      </c>
      <c r="N49" s="110"/>
      <c r="O49" s="110"/>
      <c r="P49" s="110" t="s">
        <v>4293</v>
      </c>
      <c r="Q49" s="135"/>
    </row>
    <row r="50">
      <c r="A50" s="109">
        <v>10162.0</v>
      </c>
      <c r="B50" s="110" t="s">
        <v>4294</v>
      </c>
      <c r="C50" s="110" t="s">
        <v>449</v>
      </c>
      <c r="D50" s="110" t="s">
        <v>698</v>
      </c>
      <c r="E50" s="110" t="s">
        <v>699</v>
      </c>
      <c r="F50" s="111"/>
      <c r="G50" s="110" t="s">
        <v>441</v>
      </c>
      <c r="H50" s="110" t="s">
        <v>4295</v>
      </c>
      <c r="I50" s="110" t="s">
        <v>45</v>
      </c>
      <c r="J50" s="113"/>
      <c r="K50" s="110" t="s">
        <v>4296</v>
      </c>
      <c r="L50" s="110" t="s">
        <v>1781</v>
      </c>
      <c r="M50" s="110" t="s">
        <v>4297</v>
      </c>
      <c r="N50" s="110"/>
      <c r="O50" s="110"/>
      <c r="P50" s="110" t="s">
        <v>4298</v>
      </c>
      <c r="Q50" s="135"/>
    </row>
    <row r="51">
      <c r="A51" s="109">
        <v>10441.0</v>
      </c>
      <c r="B51" s="110" t="s">
        <v>4299</v>
      </c>
      <c r="C51" s="110" t="s">
        <v>432</v>
      </c>
      <c r="D51" s="110" t="s">
        <v>698</v>
      </c>
      <c r="E51" s="110" t="s">
        <v>699</v>
      </c>
      <c r="F51" s="113"/>
      <c r="G51" s="110" t="s">
        <v>441</v>
      </c>
      <c r="H51" s="110" t="s">
        <v>4300</v>
      </c>
      <c r="I51" s="110" t="s">
        <v>18</v>
      </c>
      <c r="J51" s="113"/>
      <c r="K51" s="111"/>
      <c r="L51" s="110" t="s">
        <v>511</v>
      </c>
      <c r="M51" s="110" t="s">
        <v>4301</v>
      </c>
      <c r="N51" s="110"/>
      <c r="O51" s="110"/>
      <c r="P51" s="110" t="s">
        <v>4302</v>
      </c>
      <c r="Q51" s="135"/>
    </row>
    <row r="52">
      <c r="A52" s="109">
        <v>10443.0</v>
      </c>
      <c r="B52" s="110" t="s">
        <v>4303</v>
      </c>
      <c r="C52" s="110" t="s">
        <v>449</v>
      </c>
      <c r="D52" s="110" t="s">
        <v>698</v>
      </c>
      <c r="E52" s="110" t="s">
        <v>699</v>
      </c>
      <c r="F52" s="111"/>
      <c r="G52" s="110" t="s">
        <v>441</v>
      </c>
      <c r="H52" s="110" t="s">
        <v>658</v>
      </c>
      <c r="I52" s="110" t="s">
        <v>4304</v>
      </c>
      <c r="J52" s="113"/>
      <c r="K52" s="111"/>
      <c r="L52" s="110" t="s">
        <v>4305</v>
      </c>
      <c r="M52" s="110" t="s">
        <v>4306</v>
      </c>
      <c r="N52" s="110"/>
      <c r="O52" s="110"/>
      <c r="P52" s="110" t="s">
        <v>4307</v>
      </c>
      <c r="Q52" s="135"/>
    </row>
  </sheetData>
  <hyperlinks>
    <hyperlink r:id="rId1" ref="P2"/>
    <hyperlink r:id="rId2" ref="P3"/>
    <hyperlink r:id="rId3" ref="P6"/>
    <hyperlink r:id="rId4" ref="P7"/>
    <hyperlink r:id="rId5" ref="P8"/>
    <hyperlink r:id="rId6" ref="P9"/>
    <hyperlink r:id="rId7" ref="P10"/>
    <hyperlink r:id="rId8" ref="P11"/>
    <hyperlink r:id="rId9" ref="P12"/>
    <hyperlink r:id="rId10" ref="P13"/>
    <hyperlink r:id="rId11" ref="P14"/>
    <hyperlink r:id="rId12" ref="P15"/>
    <hyperlink r:id="rId13" ref="P16"/>
    <hyperlink r:id="rId14" ref="P17"/>
    <hyperlink r:id="rId15" ref="P23"/>
  </hyperlinks>
  <drawing r:id="rId16"/>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1.5"/>
    <col customWidth="1" min="3" max="3" width="57.0"/>
    <col customWidth="1" min="11" max="11" width="28.25"/>
    <col customWidth="1" min="14" max="14" width="22.38"/>
  </cols>
  <sheetData>
    <row r="1">
      <c r="A1" s="1" t="s">
        <v>0</v>
      </c>
      <c r="B1" s="1" t="s">
        <v>1</v>
      </c>
      <c r="C1" s="2" t="s">
        <v>2</v>
      </c>
      <c r="D1" s="1" t="s">
        <v>3</v>
      </c>
      <c r="E1" s="1" t="s">
        <v>4</v>
      </c>
      <c r="F1" s="1" t="s">
        <v>5</v>
      </c>
      <c r="G1" s="1" t="s">
        <v>6</v>
      </c>
      <c r="H1" s="1" t="s">
        <v>7</v>
      </c>
      <c r="I1" s="1" t="s">
        <v>8</v>
      </c>
      <c r="J1" s="1" t="s">
        <v>9</v>
      </c>
      <c r="K1" s="1" t="s">
        <v>10</v>
      </c>
      <c r="L1" s="1" t="s">
        <v>11</v>
      </c>
      <c r="M1" s="1" t="s">
        <v>12</v>
      </c>
      <c r="N1" s="1" t="s">
        <v>13</v>
      </c>
      <c r="O1" s="1" t="s">
        <v>4308</v>
      </c>
    </row>
    <row r="2" hidden="1">
      <c r="A2" s="1">
        <v>1130.0</v>
      </c>
      <c r="B2" s="1" t="s">
        <v>4309</v>
      </c>
      <c r="C2" s="1" t="str">
        <f>IFERROR(__xludf.DUMMYFUNCTION("GOOGLETRANSLATE(B2)"),"Diagnosis V National Energy Plan 2008-2021")</f>
        <v>Diagnosis V National Energy Plan 2008-2021</v>
      </c>
      <c r="D2" s="1" t="s">
        <v>1093</v>
      </c>
      <c r="E2" s="1" t="s">
        <v>1094</v>
      </c>
      <c r="F2" s="1" t="s">
        <v>234</v>
      </c>
      <c r="G2" s="1"/>
      <c r="H2" s="1">
        <v>2008.0</v>
      </c>
      <c r="I2" s="1" t="s">
        <v>924</v>
      </c>
      <c r="J2" s="1" t="s">
        <v>4310</v>
      </c>
      <c r="K2" s="4" t="s">
        <v>4311</v>
      </c>
      <c r="L2" s="1" t="s">
        <v>4312</v>
      </c>
      <c r="N2" s="1" t="s">
        <v>23</v>
      </c>
    </row>
    <row r="3" hidden="1">
      <c r="A3" s="1">
        <v>1130.0</v>
      </c>
      <c r="B3" s="1" t="s">
        <v>4313</v>
      </c>
      <c r="C3" s="1" t="str">
        <f>IFERROR(__xludf.DUMMYFUNCTION("GOOGLETRANSLATE(B3)"),"National Energy Plan 2015-2030")</f>
        <v>National Energy Plan 2015-2030</v>
      </c>
      <c r="D3" s="1" t="s">
        <v>1093</v>
      </c>
      <c r="E3" s="1" t="s">
        <v>1094</v>
      </c>
      <c r="F3" s="1" t="s">
        <v>234</v>
      </c>
      <c r="G3" s="1"/>
      <c r="H3" s="1">
        <v>2015.0</v>
      </c>
      <c r="I3" s="1" t="s">
        <v>924</v>
      </c>
      <c r="J3" s="1" t="s">
        <v>4314</v>
      </c>
      <c r="K3" s="4" t="s">
        <v>4315</v>
      </c>
      <c r="L3" s="1" t="s">
        <v>4312</v>
      </c>
      <c r="N3" s="1" t="s">
        <v>23</v>
      </c>
    </row>
    <row r="4" hidden="1">
      <c r="A4" s="1">
        <v>8682.0</v>
      </c>
      <c r="B4" s="1" t="s">
        <v>4316</v>
      </c>
      <c r="C4" s="1" t="str">
        <f>IFERROR(__xludf.DUMMYFUNCTION("GOOGLETRANSLATE(B4)"),"National Sustainable Production and Consumption Policy 2018-2030")</f>
        <v>National Sustainable Production and Consumption Policy 2018-2030</v>
      </c>
      <c r="D4" s="1" t="s">
        <v>1093</v>
      </c>
      <c r="E4" s="1" t="s">
        <v>1094</v>
      </c>
      <c r="F4" s="1" t="s">
        <v>407</v>
      </c>
      <c r="G4" s="1"/>
      <c r="H4" s="1">
        <v>2018.0</v>
      </c>
      <c r="I4" s="1" t="s">
        <v>924</v>
      </c>
      <c r="J4" s="1" t="s">
        <v>4317</v>
      </c>
      <c r="K4" s="4" t="s">
        <v>4318</v>
      </c>
      <c r="L4" s="1" t="s">
        <v>4312</v>
      </c>
      <c r="N4" s="1" t="s">
        <v>23</v>
      </c>
    </row>
    <row r="5" hidden="1">
      <c r="A5" s="1">
        <v>8682.0</v>
      </c>
      <c r="B5" s="1" t="s">
        <v>4319</v>
      </c>
      <c r="C5" s="1" t="str">
        <f>IFERROR(__xludf.DUMMYFUNCTION("GOOGLETRANSLATE(B5)"),"Officialization of the National Production and Sustainable Consumption Policy")</f>
        <v>Officialization of the National Production and Sustainable Consumption Policy</v>
      </c>
      <c r="D5" s="1" t="s">
        <v>1093</v>
      </c>
      <c r="E5" s="1" t="s">
        <v>1094</v>
      </c>
      <c r="F5" s="1" t="s">
        <v>18</v>
      </c>
      <c r="G5" s="1"/>
      <c r="H5" s="1">
        <v>2018.0</v>
      </c>
      <c r="I5" s="1" t="s">
        <v>924</v>
      </c>
      <c r="J5" s="1" t="s">
        <v>4320</v>
      </c>
      <c r="K5" s="4" t="s">
        <v>4321</v>
      </c>
      <c r="L5" s="1" t="s">
        <v>4312</v>
      </c>
      <c r="N5" s="1" t="s">
        <v>23</v>
      </c>
    </row>
    <row r="6" hidden="1">
      <c r="A6" s="7">
        <v>8682.0</v>
      </c>
      <c r="B6" s="7" t="s">
        <v>4322</v>
      </c>
      <c r="C6" s="7" t="str">
        <f>IFERROR(__xludf.DUMMYFUNCTION("GOOGLETRANSLATE(B6)"),"National Sustainable Production and Consumption Policy 2018-2030")</f>
        <v>National Sustainable Production and Consumption Policy 2018-2030</v>
      </c>
      <c r="D6" s="7" t="s">
        <v>1093</v>
      </c>
      <c r="E6" s="7" t="s">
        <v>1094</v>
      </c>
      <c r="F6" s="7" t="s">
        <v>407</v>
      </c>
      <c r="G6" s="7"/>
      <c r="H6" s="7">
        <v>2018.0</v>
      </c>
      <c r="I6" s="7" t="s">
        <v>924</v>
      </c>
      <c r="J6" s="7" t="s">
        <v>4323</v>
      </c>
      <c r="K6" s="16" t="s">
        <v>4324</v>
      </c>
      <c r="L6" s="7" t="s">
        <v>4312</v>
      </c>
      <c r="M6" s="17"/>
      <c r="N6" s="7" t="s">
        <v>23</v>
      </c>
      <c r="O6" s="7" t="s">
        <v>4325</v>
      </c>
      <c r="P6" s="17"/>
      <c r="Q6" s="17"/>
      <c r="R6" s="17"/>
      <c r="S6" s="17"/>
      <c r="T6" s="17"/>
      <c r="U6" s="17"/>
      <c r="V6" s="17"/>
      <c r="W6" s="17"/>
      <c r="X6" s="17"/>
      <c r="Y6" s="17"/>
      <c r="Z6" s="17"/>
      <c r="AA6" s="17"/>
      <c r="AB6" s="17"/>
    </row>
    <row r="7" hidden="1">
      <c r="A7" s="1">
        <v>8696.0</v>
      </c>
      <c r="B7" s="1" t="s">
        <v>4326</v>
      </c>
      <c r="C7" s="1" t="str">
        <f>IFERROR(__xludf.DUMMYFUNCTION("GOOGLETRANSLATE(B7)"),"Law 9518 incentives and promotion for electric transport")</f>
        <v>Law 9518 incentives and promotion for electric transport</v>
      </c>
      <c r="D7" s="1" t="s">
        <v>1093</v>
      </c>
      <c r="E7" s="1" t="s">
        <v>1094</v>
      </c>
      <c r="F7" s="1" t="s">
        <v>41</v>
      </c>
      <c r="G7" s="1"/>
      <c r="H7" s="1">
        <v>2018.0</v>
      </c>
      <c r="I7" s="1" t="s">
        <v>924</v>
      </c>
      <c r="J7" s="1" t="s">
        <v>4327</v>
      </c>
      <c r="K7" s="4" t="s">
        <v>4328</v>
      </c>
      <c r="L7" s="1" t="s">
        <v>4312</v>
      </c>
      <c r="N7" s="1" t="s">
        <v>23</v>
      </c>
    </row>
    <row r="8" hidden="1">
      <c r="A8" s="1">
        <v>8696.0</v>
      </c>
      <c r="B8" s="1" t="s">
        <v>4326</v>
      </c>
      <c r="C8" s="1" t="str">
        <f>IFERROR(__xludf.DUMMYFUNCTION("GOOGLETRANSLATE(B8)"),"Law 9518 incentives and promotion for electric transport")</f>
        <v>Law 9518 incentives and promotion for electric transport</v>
      </c>
      <c r="D8" s="1" t="s">
        <v>1093</v>
      </c>
      <c r="E8" s="1" t="s">
        <v>1094</v>
      </c>
      <c r="F8" s="1" t="s">
        <v>41</v>
      </c>
      <c r="G8" s="1"/>
      <c r="H8" s="1">
        <v>2018.0</v>
      </c>
      <c r="I8" s="1" t="s">
        <v>924</v>
      </c>
      <c r="J8" s="4" t="s">
        <v>4329</v>
      </c>
      <c r="K8" s="4" t="s">
        <v>4330</v>
      </c>
      <c r="L8" s="1" t="s">
        <v>4312</v>
      </c>
      <c r="N8" s="1" t="s">
        <v>92</v>
      </c>
      <c r="O8" s="1" t="s">
        <v>4331</v>
      </c>
    </row>
    <row r="9" hidden="1">
      <c r="A9" s="1">
        <v>8696.0</v>
      </c>
      <c r="B9" s="1" t="s">
        <v>4332</v>
      </c>
      <c r="C9" s="1" t="str">
        <f>IFERROR(__xludf.DUMMYFUNCTION("GOOGLETRANSLATE(B9)"),"Regulation for the exemption of the IM on sales and the selective consumption to the spare parts of electric vehicles and exoneration of the selective IMPRumer Minae-Mot-H")</f>
        <v>Regulation for the exemption of the IM on sales and the selective consumption to the spare parts of electric vehicles and exoneration of the selective IMPRumer Minae-Mot-H</v>
      </c>
      <c r="D9" s="1" t="s">
        <v>1093</v>
      </c>
      <c r="E9" s="1" t="s">
        <v>1094</v>
      </c>
      <c r="F9" s="1" t="s">
        <v>34</v>
      </c>
      <c r="G9" s="1"/>
      <c r="H9" s="1">
        <v>2020.0</v>
      </c>
      <c r="I9" s="1" t="s">
        <v>924</v>
      </c>
      <c r="J9" s="4" t="s">
        <v>4333</v>
      </c>
      <c r="K9" s="4" t="s">
        <v>4334</v>
      </c>
      <c r="L9" s="1" t="s">
        <v>4312</v>
      </c>
      <c r="N9" s="1" t="s">
        <v>92</v>
      </c>
    </row>
    <row r="10" ht="15.0" hidden="1" customHeight="1">
      <c r="A10" s="198">
        <v>8696.0</v>
      </c>
      <c r="B10" s="198" t="s">
        <v>4335</v>
      </c>
      <c r="C10" s="198" t="str">
        <f>IFERROR(__xludf.DUMMYFUNCTION("GOOGLETRANSLATE(B10)"),"Incentive Regulations for Electric Transportation
N ° 41092-MINAE-H-MOPT")</f>
        <v>Incentive Regulations for Electric Transportation
N ° 41092-MINAE-H-MOPT</v>
      </c>
      <c r="D10" s="198" t="s">
        <v>1093</v>
      </c>
      <c r="E10" s="198" t="s">
        <v>1094</v>
      </c>
      <c r="F10" s="198" t="s">
        <v>34</v>
      </c>
      <c r="G10" s="198"/>
      <c r="H10" s="198">
        <v>2018.0</v>
      </c>
      <c r="I10" s="198" t="s">
        <v>924</v>
      </c>
      <c r="J10" s="199" t="s">
        <v>4336</v>
      </c>
      <c r="K10" s="199" t="s">
        <v>4337</v>
      </c>
      <c r="L10" s="198" t="s">
        <v>4312</v>
      </c>
      <c r="M10" s="200"/>
      <c r="N10" s="198" t="s">
        <v>92</v>
      </c>
      <c r="O10" s="200"/>
      <c r="P10" s="200"/>
      <c r="Q10" s="200"/>
      <c r="R10" s="200"/>
      <c r="S10" s="200"/>
      <c r="T10" s="200"/>
      <c r="U10" s="200"/>
      <c r="V10" s="200"/>
      <c r="W10" s="200"/>
      <c r="X10" s="200"/>
      <c r="Y10" s="200"/>
      <c r="Z10" s="200"/>
      <c r="AA10" s="200"/>
      <c r="AB10" s="200"/>
    </row>
    <row r="11" hidden="1">
      <c r="A11" s="1">
        <v>9326.0</v>
      </c>
      <c r="B11" s="1" t="s">
        <v>4338</v>
      </c>
      <c r="C11" s="1" t="str">
        <f>IFERROR(__xludf.DUMMYFUNCTION("GOOGLETRANSLATE(B11)"),"Officialization of the Country Carbon Program Neutrality 2.0")</f>
        <v>Officialization of the Country Carbon Program Neutrality 2.0</v>
      </c>
      <c r="D11" s="1" t="s">
        <v>1093</v>
      </c>
      <c r="E11" s="1" t="s">
        <v>1094</v>
      </c>
      <c r="F11" s="1" t="s">
        <v>18</v>
      </c>
      <c r="G11" s="6"/>
      <c r="I11" s="1" t="s">
        <v>924</v>
      </c>
      <c r="J11" s="1" t="s">
        <v>4339</v>
      </c>
      <c r="K11" s="4" t="s">
        <v>4340</v>
      </c>
      <c r="L11" s="1" t="s">
        <v>4312</v>
      </c>
      <c r="N11" s="1" t="s">
        <v>23</v>
      </c>
    </row>
    <row r="12">
      <c r="A12" s="1">
        <v>9326.0</v>
      </c>
      <c r="C12" s="1" t="str">
        <f>IFERROR(__xludf.DUMMYFUNCTION("GOOGLETRANSLATE(B12)"),"#VALUE!")</f>
        <v>#VALUE!</v>
      </c>
      <c r="D12" s="1" t="s">
        <v>1093</v>
      </c>
      <c r="E12" s="1" t="s">
        <v>1094</v>
      </c>
      <c r="F12" s="6"/>
      <c r="G12" s="6"/>
      <c r="J12" s="1" t="s">
        <v>4341</v>
      </c>
      <c r="K12" s="4" t="s">
        <v>4342</v>
      </c>
      <c r="L12" s="1" t="s">
        <v>4312</v>
      </c>
      <c r="N12" s="1" t="s">
        <v>4343</v>
      </c>
      <c r="O12" s="1" t="s">
        <v>4344</v>
      </c>
    </row>
    <row r="13" hidden="1">
      <c r="A13" s="1">
        <v>9412.0</v>
      </c>
      <c r="B13" s="1" t="s">
        <v>4345</v>
      </c>
      <c r="C13" s="1" t="str">
        <f>IFERROR(__xludf.DUMMYFUNCTION("GOOGLETRANSLATE(B13)"),"National Decarbonization Plan 2018-2050")</f>
        <v>National Decarbonization Plan 2018-2050</v>
      </c>
      <c r="D13" s="1" t="s">
        <v>1093</v>
      </c>
      <c r="E13" s="1" t="s">
        <v>1094</v>
      </c>
      <c r="F13" s="1" t="s">
        <v>234</v>
      </c>
      <c r="G13" s="1"/>
      <c r="H13" s="1">
        <v>2018.0</v>
      </c>
      <c r="I13" s="1" t="s">
        <v>924</v>
      </c>
      <c r="J13" s="1" t="s">
        <v>4346</v>
      </c>
      <c r="K13" s="4" t="s">
        <v>4347</v>
      </c>
      <c r="L13" s="1" t="s">
        <v>4312</v>
      </c>
      <c r="N13" s="1" t="s">
        <v>4343</v>
      </c>
    </row>
    <row r="14" hidden="1">
      <c r="A14" s="1">
        <v>9412.0</v>
      </c>
      <c r="B14" s="1" t="s">
        <v>4348</v>
      </c>
      <c r="C14" s="1" t="str">
        <f>IFERROR(__xludf.DUMMYFUNCTION("GOOGLETRANSLATE(B14)"),"Summary of the National Decarbonisation Plan")</f>
        <v>Summary of the National Decarbonisation Plan</v>
      </c>
      <c r="D14" s="1" t="s">
        <v>1093</v>
      </c>
      <c r="E14" s="1" t="s">
        <v>1094</v>
      </c>
      <c r="F14" s="1" t="s">
        <v>1532</v>
      </c>
      <c r="G14" s="1"/>
      <c r="H14" s="1">
        <v>2018.0</v>
      </c>
      <c r="I14" s="1" t="s">
        <v>24</v>
      </c>
      <c r="J14" s="1" t="s">
        <v>4349</v>
      </c>
      <c r="K14" s="4" t="s">
        <v>4350</v>
      </c>
      <c r="L14" s="1" t="s">
        <v>4312</v>
      </c>
      <c r="N14" s="1" t="s">
        <v>92</v>
      </c>
      <c r="O14" s="1" t="s">
        <v>4351</v>
      </c>
    </row>
    <row r="15" hidden="1">
      <c r="A15" s="1">
        <v>10135.0</v>
      </c>
      <c r="B15" s="1" t="s">
        <v>4352</v>
      </c>
      <c r="C15" s="1" t="str">
        <f>IFERROR(__xludf.DUMMYFUNCTION("GOOGLETRANSLATE(B15)"),"Inter -institutional action plan to promote the use of hydrogen in the transport sector")</f>
        <v>Inter -institutional action plan to promote the use of hydrogen in the transport sector</v>
      </c>
      <c r="D15" s="1" t="s">
        <v>1093</v>
      </c>
      <c r="E15" s="1" t="s">
        <v>1094</v>
      </c>
      <c r="F15" s="1" t="s">
        <v>3820</v>
      </c>
      <c r="G15" s="1"/>
      <c r="H15" s="1">
        <v>2018.0</v>
      </c>
      <c r="I15" s="1" t="s">
        <v>924</v>
      </c>
      <c r="J15" s="1" t="s">
        <v>4353</v>
      </c>
      <c r="K15" s="4" t="s">
        <v>4354</v>
      </c>
      <c r="L15" s="1" t="s">
        <v>4312</v>
      </c>
      <c r="N15" s="1" t="s">
        <v>23</v>
      </c>
    </row>
    <row r="16" hidden="1">
      <c r="A16" s="1">
        <v>10135.0</v>
      </c>
      <c r="B16" s="1" t="s">
        <v>4355</v>
      </c>
      <c r="C16" s="1" t="str">
        <f>IFERROR(__xludf.DUMMYFUNCTION("GOOGLETRANSLATE(B16)"),"Energy subsector organization regulations
Nº 35991-MINAET")</f>
        <v>Energy subsector organization regulations
Nº 35991-MINAET</v>
      </c>
      <c r="D16" s="1" t="s">
        <v>1093</v>
      </c>
      <c r="E16" s="1" t="s">
        <v>1094</v>
      </c>
      <c r="F16" s="1" t="s">
        <v>34</v>
      </c>
      <c r="G16" s="1"/>
      <c r="H16" s="1">
        <v>2010.0</v>
      </c>
      <c r="I16" s="1" t="s">
        <v>924</v>
      </c>
      <c r="J16" s="4" t="s">
        <v>4356</v>
      </c>
      <c r="K16" s="4" t="s">
        <v>4357</v>
      </c>
      <c r="L16" s="1" t="s">
        <v>4312</v>
      </c>
      <c r="N16" s="1" t="s">
        <v>92</v>
      </c>
    </row>
    <row r="17" hidden="1">
      <c r="A17" s="1">
        <v>4791.0</v>
      </c>
      <c r="B17" s="1" t="s">
        <v>4358</v>
      </c>
      <c r="C17" s="1" t="str">
        <f>IFERROR(__xludf.DUMMYFUNCTION("GOOGLETRANSLATE(B17)"),"Decision to declare the Law on Transport Biofuels")</f>
        <v>Decision to declare the Law on Transport Biofuels</v>
      </c>
      <c r="D17" s="1" t="s">
        <v>4359</v>
      </c>
      <c r="E17" s="1" t="s">
        <v>4360</v>
      </c>
      <c r="F17" s="1" t="s">
        <v>272</v>
      </c>
      <c r="G17" s="1"/>
      <c r="H17" s="1">
        <v>2009.0</v>
      </c>
      <c r="I17" s="1" t="s">
        <v>4361</v>
      </c>
      <c r="J17" s="1" t="s">
        <v>4362</v>
      </c>
      <c r="K17" s="4" t="s">
        <v>4363</v>
      </c>
      <c r="L17" s="1" t="s">
        <v>4312</v>
      </c>
      <c r="N17" s="1" t="s">
        <v>37</v>
      </c>
    </row>
    <row r="18" hidden="1">
      <c r="A18" s="1">
        <v>4791.0</v>
      </c>
      <c r="B18" s="1" t="s">
        <v>4364</v>
      </c>
      <c r="C18" s="1" t="s">
        <v>4365</v>
      </c>
      <c r="D18" s="1" t="s">
        <v>4359</v>
      </c>
      <c r="E18" s="1" t="s">
        <v>4360</v>
      </c>
      <c r="F18" s="1" t="s">
        <v>41</v>
      </c>
      <c r="G18" s="1"/>
      <c r="H18" s="1">
        <v>2009.0</v>
      </c>
      <c r="I18" s="1" t="s">
        <v>4361</v>
      </c>
      <c r="J18" s="1" t="s">
        <v>4366</v>
      </c>
      <c r="K18" s="4" t="s">
        <v>4367</v>
      </c>
      <c r="L18" s="1" t="s">
        <v>4312</v>
      </c>
      <c r="N18" s="1" t="s">
        <v>839</v>
      </c>
    </row>
    <row r="19" hidden="1">
      <c r="A19" s="1">
        <v>9496.0</v>
      </c>
      <c r="B19" s="1" t="s">
        <v>4368</v>
      </c>
      <c r="C19" s="1" t="str">
        <f>IFERROR(__xludf.DUMMYFUNCTION("GOOGLETRANSLATE(B19)"),"Integrated National Energy and Climate Plan for the Republic of Croatia for the period 2021-2030 ")</f>
        <v>Integrated National Energy and Climate Plan for the Republic of Croatia for the period 2021-2030 </v>
      </c>
      <c r="D19" s="1" t="s">
        <v>4359</v>
      </c>
      <c r="E19" s="1" t="s">
        <v>4360</v>
      </c>
      <c r="F19" s="1" t="s">
        <v>234</v>
      </c>
      <c r="G19" s="1"/>
      <c r="H19" s="1">
        <v>2019.0</v>
      </c>
      <c r="I19" s="1" t="s">
        <v>24</v>
      </c>
      <c r="J19" s="1" t="s">
        <v>4369</v>
      </c>
      <c r="K19" s="4" t="s">
        <v>4370</v>
      </c>
      <c r="L19" s="1" t="s">
        <v>4312</v>
      </c>
      <c r="N19" s="1" t="s">
        <v>37</v>
      </c>
    </row>
    <row r="20" hidden="1">
      <c r="A20" s="1">
        <v>9496.0</v>
      </c>
      <c r="B20" s="1" t="s">
        <v>4371</v>
      </c>
      <c r="C20" s="1" t="str">
        <f>IFERROR(__xludf.DUMMYFUNCTION("GOOGLETRANSLATE(B20)"),"Integrated both energy and national and climate and plan for the Republic of Croatia for the 2021 to 2030")</f>
        <v>Integrated both energy and national and climate and plan for the Republic of Croatia for the 2021 to 2030</v>
      </c>
      <c r="D20" s="1" t="s">
        <v>4359</v>
      </c>
      <c r="E20" s="1" t="s">
        <v>4360</v>
      </c>
      <c r="F20" s="1" t="s">
        <v>234</v>
      </c>
      <c r="G20" s="1"/>
      <c r="H20" s="1">
        <v>2019.0</v>
      </c>
      <c r="I20" s="1" t="s">
        <v>4361</v>
      </c>
      <c r="J20" s="1" t="s">
        <v>4372</v>
      </c>
      <c r="K20" s="4" t="s">
        <v>4373</v>
      </c>
      <c r="L20" s="1" t="s">
        <v>4312</v>
      </c>
      <c r="N20" s="1" t="s">
        <v>23</v>
      </c>
    </row>
    <row r="21" hidden="1">
      <c r="A21" s="1">
        <v>10492.0</v>
      </c>
      <c r="B21" s="1" t="s">
        <v>4374</v>
      </c>
      <c r="C21" s="1" t="str">
        <f>IFERROR(__xludf.DUMMYFUNCTION("GOOGLETRANSLATE(B21)"),"Recovery and resilience plan for Croatia")</f>
        <v>Recovery and resilience plan for Croatia</v>
      </c>
      <c r="D21" s="1" t="s">
        <v>4359</v>
      </c>
      <c r="E21" s="1" t="s">
        <v>4360</v>
      </c>
      <c r="F21" s="1" t="s">
        <v>234</v>
      </c>
      <c r="G21" s="1"/>
      <c r="H21" s="1">
        <v>2019.0</v>
      </c>
      <c r="I21" s="1" t="s">
        <v>24</v>
      </c>
      <c r="J21" s="4" t="s">
        <v>4375</v>
      </c>
      <c r="K21" s="4" t="s">
        <v>4376</v>
      </c>
      <c r="L21" s="1" t="s">
        <v>4312</v>
      </c>
      <c r="N21" s="1" t="s">
        <v>37</v>
      </c>
    </row>
    <row r="22" hidden="1">
      <c r="A22" s="1">
        <v>10492.0</v>
      </c>
      <c r="B22" s="1" t="s">
        <v>4377</v>
      </c>
      <c r="C22" s="1" t="s">
        <v>4378</v>
      </c>
      <c r="D22" s="1" t="s">
        <v>4359</v>
      </c>
      <c r="E22" s="1" t="s">
        <v>4360</v>
      </c>
      <c r="F22" s="1" t="s">
        <v>234</v>
      </c>
      <c r="G22" s="1"/>
      <c r="H22" s="1">
        <v>2021.0</v>
      </c>
      <c r="I22" s="1" t="s">
        <v>4379</v>
      </c>
      <c r="J22" s="1" t="s">
        <v>4380</v>
      </c>
      <c r="K22" s="4" t="s">
        <v>4381</v>
      </c>
      <c r="L22" s="1" t="s">
        <v>4312</v>
      </c>
      <c r="N22" s="1" t="s">
        <v>92</v>
      </c>
    </row>
    <row r="23" hidden="1">
      <c r="A23" s="1">
        <v>10492.0</v>
      </c>
      <c r="B23" s="1" t="s">
        <v>4382</v>
      </c>
      <c r="C23" s="1" t="str">
        <f>IFERROR(__xludf.DUMMYFUNCTION("GOOGLETRANSLATE(B23)"),"Recovery plan")</f>
        <v>Recovery plan</v>
      </c>
      <c r="D23" s="1" t="s">
        <v>4359</v>
      </c>
      <c r="E23" s="1" t="s">
        <v>4360</v>
      </c>
      <c r="F23" s="1" t="s">
        <v>234</v>
      </c>
      <c r="G23" s="1"/>
      <c r="H23" s="1">
        <v>2021.0</v>
      </c>
      <c r="I23" s="1" t="s">
        <v>4379</v>
      </c>
      <c r="J23" s="1" t="s">
        <v>4383</v>
      </c>
      <c r="K23" s="4" t="s">
        <v>4384</v>
      </c>
      <c r="L23" s="1" t="s">
        <v>4312</v>
      </c>
      <c r="N23" s="1" t="s">
        <v>92</v>
      </c>
    </row>
    <row r="24" hidden="1">
      <c r="A24" s="1">
        <v>10492.0</v>
      </c>
      <c r="B24" s="1" t="s">
        <v>4385</v>
      </c>
      <c r="C24" s="1" t="str">
        <f>IFERROR(__xludf.DUMMYFUNCTION("GOOGLETRANSLATE(B24)"),"Factsheet: Croatia’s recovery and resilience plan")</f>
        <v>Factsheet: Croatia’s recovery and resilience plan</v>
      </c>
      <c r="D24" s="1" t="s">
        <v>4359</v>
      </c>
      <c r="E24" s="1" t="s">
        <v>4360</v>
      </c>
      <c r="F24" s="1" t="s">
        <v>1532</v>
      </c>
      <c r="G24" s="1"/>
      <c r="H24" s="1">
        <v>2021.0</v>
      </c>
      <c r="I24" s="1" t="s">
        <v>24</v>
      </c>
      <c r="J24" s="1" t="s">
        <v>4386</v>
      </c>
      <c r="K24" s="4" t="s">
        <v>4387</v>
      </c>
      <c r="L24" s="1" t="s">
        <v>4312</v>
      </c>
      <c r="N24" s="1" t="s">
        <v>92</v>
      </c>
    </row>
    <row r="25" hidden="1">
      <c r="A25" s="1">
        <v>10492.0</v>
      </c>
      <c r="B25" s="1" t="s">
        <v>4388</v>
      </c>
      <c r="C25" s="1" t="str">
        <f>IFERROR(__xludf.DUMMYFUNCTION("GOOGLETRANSLATE(B25)"),"ANNEX to the Council Implementing Decision on the approval of the assessment of the recovery and resilience plan for Croatia")</f>
        <v>ANNEX to the Council Implementing Decision on the approval of the assessment of the recovery and resilience plan for Croatia</v>
      </c>
      <c r="D25" s="1" t="s">
        <v>4359</v>
      </c>
      <c r="E25" s="1" t="s">
        <v>4360</v>
      </c>
      <c r="F25" s="1" t="s">
        <v>972</v>
      </c>
      <c r="G25" s="1"/>
      <c r="H25" s="1">
        <v>2021.0</v>
      </c>
      <c r="I25" s="1" t="s">
        <v>24</v>
      </c>
      <c r="J25" s="4" t="s">
        <v>4389</v>
      </c>
      <c r="K25" s="4" t="s">
        <v>4390</v>
      </c>
      <c r="L25" s="1" t="s">
        <v>4312</v>
      </c>
      <c r="N25" s="1" t="s">
        <v>92</v>
      </c>
    </row>
    <row r="26" hidden="1">
      <c r="A26" s="1">
        <v>1137.0</v>
      </c>
      <c r="B26" s="1" t="s">
        <v>4391</v>
      </c>
      <c r="C26" s="1" t="str">
        <f>IFERROR(__xludf.DUMMYFUNCTION("GOOGLETRANSLATE(B26)"),"Decree Law No. 170 of the Civil Defense Measures System")</f>
        <v>Decree Law No. 170 of the Civil Defense Measures System</v>
      </c>
      <c r="D26" s="1" t="s">
        <v>4392</v>
      </c>
      <c r="E26" s="1" t="s">
        <v>4393</v>
      </c>
      <c r="F26" s="1" t="s">
        <v>217</v>
      </c>
      <c r="G26" s="1"/>
      <c r="H26" s="1">
        <v>1997.0</v>
      </c>
      <c r="I26" s="1" t="s">
        <v>924</v>
      </c>
      <c r="J26" s="1" t="s">
        <v>4394</v>
      </c>
      <c r="K26" s="4" t="s">
        <v>4395</v>
      </c>
      <c r="L26" s="1" t="s">
        <v>4312</v>
      </c>
      <c r="N26" s="1" t="s">
        <v>326</v>
      </c>
    </row>
    <row r="27" hidden="1">
      <c r="A27" s="1">
        <v>1137.0</v>
      </c>
      <c r="B27" s="1" t="s">
        <v>4391</v>
      </c>
      <c r="C27" s="1" t="str">
        <f>IFERROR(__xludf.DUMMYFUNCTION("GOOGLETRANSLATE(B27)"),"Decree Law No. 170 of the Civil Defense Measures System")</f>
        <v>Decree Law No. 170 of the Civil Defense Measures System</v>
      </c>
      <c r="D27" s="1" t="s">
        <v>4392</v>
      </c>
      <c r="E27" s="1" t="s">
        <v>4393</v>
      </c>
      <c r="F27" s="1" t="s">
        <v>217</v>
      </c>
      <c r="G27" s="1"/>
      <c r="H27" s="1">
        <v>1997.0</v>
      </c>
      <c r="I27" s="1" t="s">
        <v>924</v>
      </c>
      <c r="J27" s="1" t="s">
        <v>4396</v>
      </c>
      <c r="K27" s="4" t="s">
        <v>4397</v>
      </c>
      <c r="L27" s="1" t="s">
        <v>4312</v>
      </c>
      <c r="N27" s="1" t="s">
        <v>37</v>
      </c>
      <c r="O27" s="1" t="s">
        <v>4398</v>
      </c>
    </row>
    <row r="28" hidden="1">
      <c r="A28" s="1">
        <v>9209.0</v>
      </c>
      <c r="B28" s="1" t="s">
        <v>4399</v>
      </c>
      <c r="C28" s="1" t="str">
        <f>IFERROR(__xludf.DUMMYFUNCTION("GOOGLETRANSLATE(B28)"),"Confrontation to climate change in the Republic of Cuba - Life task")</f>
        <v>Confrontation to climate change in the Republic of Cuba - Life task</v>
      </c>
      <c r="D28" s="1" t="s">
        <v>4392</v>
      </c>
      <c r="E28" s="1" t="s">
        <v>4393</v>
      </c>
      <c r="F28" s="1" t="s">
        <v>234</v>
      </c>
      <c r="G28" s="1"/>
      <c r="H28" s="1">
        <v>2017.0</v>
      </c>
      <c r="I28" s="1" t="s">
        <v>924</v>
      </c>
      <c r="J28" s="1" t="s">
        <v>4400</v>
      </c>
      <c r="K28" s="4" t="s">
        <v>4401</v>
      </c>
      <c r="L28" s="1" t="s">
        <v>4312</v>
      </c>
      <c r="N28" s="1" t="s">
        <v>23</v>
      </c>
    </row>
    <row r="29" hidden="1">
      <c r="A29" s="1">
        <v>9209.0</v>
      </c>
      <c r="B29" s="1" t="s">
        <v>4402</v>
      </c>
      <c r="C29" s="1" t="str">
        <f>IFERROR(__xludf.DUMMYFUNCTION("GOOGLETRANSLATE(B29)"),"Life task")</f>
        <v>Life task</v>
      </c>
      <c r="D29" s="1" t="s">
        <v>4392</v>
      </c>
      <c r="E29" s="1" t="s">
        <v>4393</v>
      </c>
      <c r="F29" s="1" t="s">
        <v>1532</v>
      </c>
      <c r="G29" s="1"/>
      <c r="H29" s="1">
        <v>2017.0</v>
      </c>
      <c r="I29" s="1" t="s">
        <v>924</v>
      </c>
      <c r="J29" s="1" t="s">
        <v>4403</v>
      </c>
      <c r="K29" s="4" t="s">
        <v>4404</v>
      </c>
      <c r="L29" s="1" t="s">
        <v>4312</v>
      </c>
      <c r="N29" s="1" t="s">
        <v>326</v>
      </c>
    </row>
    <row r="30" hidden="1">
      <c r="A30" s="1">
        <v>10494.0</v>
      </c>
      <c r="B30" s="1" t="s">
        <v>4405</v>
      </c>
      <c r="C30" s="1" t="str">
        <f>IFERROR(__xludf.DUMMYFUNCTION("GOOGLETRANSLATE(B30)"),"Cyprus’ recovery and resilience plan
")</f>
        <v>Cyprus’ recovery and resilience plan
</v>
      </c>
      <c r="D30" s="1" t="s">
        <v>4406</v>
      </c>
      <c r="E30" s="1" t="s">
        <v>4407</v>
      </c>
      <c r="F30" s="1" t="s">
        <v>234</v>
      </c>
      <c r="G30" s="1"/>
      <c r="H30" s="1">
        <v>2021.0</v>
      </c>
      <c r="I30" s="1" t="s">
        <v>24</v>
      </c>
      <c r="J30" s="4" t="s">
        <v>4408</v>
      </c>
      <c r="K30" s="4" t="s">
        <v>4409</v>
      </c>
      <c r="L30" s="1" t="s">
        <v>4312</v>
      </c>
      <c r="N30" s="1" t="s">
        <v>92</v>
      </c>
    </row>
    <row r="31" hidden="1">
      <c r="A31" s="1">
        <v>10494.0</v>
      </c>
      <c r="B31" s="1" t="s">
        <v>4410</v>
      </c>
      <c r="C31" s="1" t="str">
        <f>IFERROR(__xludf.DUMMYFUNCTION("GOOGLETRANSLATE(B31)"),"ANNEX to the Council Implementing Decision on the approval of the assessment of the recovery and resilience plan for Cyprus")</f>
        <v>ANNEX to the Council Implementing Decision on the approval of the assessment of the recovery and resilience plan for Cyprus</v>
      </c>
      <c r="D31" s="1" t="s">
        <v>4406</v>
      </c>
      <c r="E31" s="1" t="s">
        <v>4407</v>
      </c>
      <c r="F31" s="1" t="s">
        <v>272</v>
      </c>
      <c r="G31" s="1"/>
      <c r="H31" s="1">
        <v>2021.0</v>
      </c>
      <c r="I31" s="1" t="s">
        <v>24</v>
      </c>
      <c r="J31" s="4" t="s">
        <v>4411</v>
      </c>
      <c r="K31" s="4" t="s">
        <v>4412</v>
      </c>
      <c r="L31" s="1" t="s">
        <v>4312</v>
      </c>
      <c r="N31" s="1" t="s">
        <v>92</v>
      </c>
    </row>
    <row r="32" hidden="1">
      <c r="A32" s="1">
        <v>10494.0</v>
      </c>
      <c r="B32" s="1" t="s">
        <v>4413</v>
      </c>
      <c r="C32" s="1" t="str">
        <f>IFERROR(__xludf.DUMMYFUNCTION("GOOGLETRANSLATE(B32)"),"Factsheet: Cyprus’s recovery and resilience plan
")</f>
        <v>Factsheet: Cyprus’s recovery and resilience plan
</v>
      </c>
      <c r="D32" s="1" t="s">
        <v>4406</v>
      </c>
      <c r="E32" s="1" t="s">
        <v>4407</v>
      </c>
      <c r="F32" s="1" t="s">
        <v>1532</v>
      </c>
      <c r="G32" s="1"/>
      <c r="H32" s="1">
        <v>2021.0</v>
      </c>
      <c r="I32" s="1" t="s">
        <v>24</v>
      </c>
      <c r="J32" s="1" t="s">
        <v>4414</v>
      </c>
      <c r="K32" s="4" t="s">
        <v>4415</v>
      </c>
      <c r="L32" s="1" t="s">
        <v>4312</v>
      </c>
      <c r="N32" s="1" t="s">
        <v>92</v>
      </c>
    </row>
    <row r="33" hidden="1">
      <c r="A33" s="1">
        <v>10494.0</v>
      </c>
      <c r="B33" s="1" t="s">
        <v>4416</v>
      </c>
      <c r="C33" s="18" t="s">
        <v>4417</v>
      </c>
      <c r="D33" s="1" t="s">
        <v>4406</v>
      </c>
      <c r="E33" s="1" t="s">
        <v>4407</v>
      </c>
      <c r="F33" s="1" t="s">
        <v>234</v>
      </c>
      <c r="G33" s="1"/>
      <c r="H33" s="1">
        <v>2021.0</v>
      </c>
      <c r="I33" s="1" t="s">
        <v>1552</v>
      </c>
      <c r="J33" s="4" t="s">
        <v>4418</v>
      </c>
      <c r="K33" s="4" t="s">
        <v>4419</v>
      </c>
      <c r="L33" s="1" t="s">
        <v>4312</v>
      </c>
      <c r="N33" s="1" t="s">
        <v>326</v>
      </c>
    </row>
    <row r="34" hidden="1">
      <c r="A34" s="1">
        <v>10494.0</v>
      </c>
      <c r="B34" s="1" t="s">
        <v>4420</v>
      </c>
      <c r="C34" s="1" t="str">
        <f>IFERROR(__xludf.DUMMYFUNCTION("GOOGLETRANSLATE(B34)"),"Cyprus Recovery and Resilience Plan")</f>
        <v>Cyprus Recovery and Resilience Plan</v>
      </c>
      <c r="D34" s="1" t="s">
        <v>4406</v>
      </c>
      <c r="E34" s="1" t="s">
        <v>4407</v>
      </c>
      <c r="F34" s="1" t="s">
        <v>234</v>
      </c>
      <c r="G34" s="1"/>
      <c r="H34" s="1">
        <v>2021.0</v>
      </c>
      <c r="I34" s="1" t="s">
        <v>24</v>
      </c>
      <c r="J34" s="4" t="s">
        <v>4421</v>
      </c>
      <c r="K34" s="4" t="s">
        <v>4422</v>
      </c>
      <c r="L34" s="1" t="s">
        <v>4312</v>
      </c>
      <c r="N34" s="1" t="s">
        <v>37</v>
      </c>
      <c r="O34" s="1" t="s">
        <v>4423</v>
      </c>
    </row>
    <row r="35" hidden="1">
      <c r="A35" s="1">
        <v>1142.0</v>
      </c>
      <c r="B35" s="1" t="s">
        <v>4424</v>
      </c>
      <c r="C35" s="1" t="str">
        <f>IFERROR(__xludf.DUMMYFUNCTION("GOOGLETRANSLATE(B35)"),"State Environmental Policy of the Czech Republic 2012–2020, as amended by the 2016 update")</f>
        <v>State Environmental Policy of the Czech Republic 2012–2020, as amended by the 2016 update</v>
      </c>
      <c r="D35" s="1" t="s">
        <v>4425</v>
      </c>
      <c r="E35" s="1" t="s">
        <v>4426</v>
      </c>
      <c r="F35" s="1" t="s">
        <v>407</v>
      </c>
      <c r="G35" s="1"/>
      <c r="H35" s="1">
        <v>2016.0</v>
      </c>
      <c r="I35" s="1" t="s">
        <v>4427</v>
      </c>
      <c r="J35" s="1" t="s">
        <v>4428</v>
      </c>
      <c r="K35" s="4" t="s">
        <v>4429</v>
      </c>
      <c r="L35" s="1" t="s">
        <v>4312</v>
      </c>
      <c r="N35" s="1" t="s">
        <v>23</v>
      </c>
    </row>
    <row r="36" hidden="1">
      <c r="A36" s="1">
        <v>1142.0</v>
      </c>
      <c r="B36" s="1" t="s">
        <v>4430</v>
      </c>
      <c r="C36" s="1" t="str">
        <f>IFERROR(__xludf.DUMMYFUNCTION("GOOGLETRANSLATE(B36)"),"State Environmental Policy of the Czech Republic 2012–2020, as amended in 2016 ")</f>
        <v>State Environmental Policy of the Czech Republic 2012–2020, as amended in 2016 </v>
      </c>
      <c r="D36" s="1" t="s">
        <v>4425</v>
      </c>
      <c r="E36" s="1" t="s">
        <v>4426</v>
      </c>
      <c r="F36" s="1" t="s">
        <v>407</v>
      </c>
      <c r="G36" s="1"/>
      <c r="H36" s="1">
        <v>2016.0</v>
      </c>
      <c r="I36" s="1" t="s">
        <v>4427</v>
      </c>
      <c r="J36" s="1" t="s">
        <v>4431</v>
      </c>
      <c r="K36" s="4" t="s">
        <v>4432</v>
      </c>
      <c r="L36" s="1" t="s">
        <v>4312</v>
      </c>
      <c r="N36" s="1" t="s">
        <v>23</v>
      </c>
    </row>
    <row r="37" hidden="1">
      <c r="A37" s="1">
        <v>8657.0</v>
      </c>
      <c r="B37" s="1" t="s">
        <v>4433</v>
      </c>
      <c r="C37" s="1" t="str">
        <f>IFERROR(__xludf.DUMMYFUNCTION("GOOGLETRANSLATE(B37)"),"Climate protection policy")</f>
        <v>Climate protection policy</v>
      </c>
      <c r="D37" s="1" t="s">
        <v>4425</v>
      </c>
      <c r="E37" s="1" t="s">
        <v>4426</v>
      </c>
      <c r="F37" s="1" t="s">
        <v>407</v>
      </c>
      <c r="G37" s="1"/>
      <c r="H37" s="1">
        <v>2017.0</v>
      </c>
      <c r="I37" s="1" t="s">
        <v>4427</v>
      </c>
      <c r="J37" s="1" t="s">
        <v>4434</v>
      </c>
      <c r="K37" s="4" t="s">
        <v>4435</v>
      </c>
      <c r="L37" s="1" t="s">
        <v>4312</v>
      </c>
      <c r="N37" s="1" t="s">
        <v>23</v>
      </c>
    </row>
    <row r="38" hidden="1">
      <c r="A38" s="1">
        <v>8657.0</v>
      </c>
      <c r="B38" s="1" t="s">
        <v>4436</v>
      </c>
      <c r="C38" s="1" t="str">
        <f>IFERROR(__xludf.DUMMYFUNCTION("GOOGLETRANSLATE(B38)"),"CLIMATE PROTECTION POLICY OF THE CZECH REPUBLIC, Executive summary ")</f>
        <v>CLIMATE PROTECTION POLICY OF THE CZECH REPUBLIC, Executive summary </v>
      </c>
      <c r="D38" s="1" t="s">
        <v>4425</v>
      </c>
      <c r="E38" s="1" t="s">
        <v>4426</v>
      </c>
      <c r="F38" s="1" t="s">
        <v>407</v>
      </c>
      <c r="G38" s="1"/>
      <c r="H38" s="1">
        <v>2017.0</v>
      </c>
      <c r="I38" s="1" t="s">
        <v>24</v>
      </c>
      <c r="J38" s="1" t="s">
        <v>4437</v>
      </c>
      <c r="K38" s="4" t="s">
        <v>4438</v>
      </c>
      <c r="L38" s="1" t="s">
        <v>4312</v>
      </c>
      <c r="N38" s="1" t="s">
        <v>23</v>
      </c>
    </row>
    <row r="39" hidden="1">
      <c r="A39" s="1">
        <v>9498.0</v>
      </c>
      <c r="B39" s="1" t="s">
        <v>4439</v>
      </c>
      <c r="C39" s="1" t="str">
        <f>IFERROR(__xludf.DUMMYFUNCTION("GOOGLETRANSLATE(B39)"),"National Energy and Climate Plan of the Czech Republic ")</f>
        <v>National Energy and Climate Plan of the Czech Republic </v>
      </c>
      <c r="D39" s="1" t="s">
        <v>4425</v>
      </c>
      <c r="E39" s="1" t="s">
        <v>4426</v>
      </c>
      <c r="F39" s="1" t="s">
        <v>234</v>
      </c>
      <c r="G39" s="1"/>
      <c r="H39" s="1">
        <v>2019.0</v>
      </c>
      <c r="I39" s="1" t="s">
        <v>24</v>
      </c>
      <c r="J39" s="1" t="s">
        <v>4440</v>
      </c>
      <c r="K39" s="4" t="s">
        <v>4441</v>
      </c>
      <c r="L39" s="1" t="s">
        <v>4312</v>
      </c>
      <c r="N39" s="1" t="s">
        <v>23</v>
      </c>
    </row>
    <row r="40" hidden="1">
      <c r="A40" s="1">
        <v>9498.0</v>
      </c>
      <c r="B40" s="1" t="s">
        <v>4442</v>
      </c>
      <c r="C40" s="1" t="str">
        <f>IFERROR(__xludf.DUMMYFUNCTION("GOOGLETRANSLATE(B40)"),"The national plan of the Czech Republic in the field of energy and climate")</f>
        <v>The national plan of the Czech Republic in the field of energy and climate</v>
      </c>
      <c r="D40" s="1" t="s">
        <v>4425</v>
      </c>
      <c r="E40" s="1" t="s">
        <v>4426</v>
      </c>
      <c r="F40" s="1" t="s">
        <v>234</v>
      </c>
      <c r="G40" s="1"/>
      <c r="H40" s="1">
        <v>2019.0</v>
      </c>
      <c r="I40" s="1" t="s">
        <v>4427</v>
      </c>
      <c r="J40" s="1" t="s">
        <v>4443</v>
      </c>
      <c r="K40" s="4" t="s">
        <v>4444</v>
      </c>
      <c r="L40" s="1" t="s">
        <v>4312</v>
      </c>
      <c r="N40" s="1" t="s">
        <v>23</v>
      </c>
    </row>
    <row r="41" hidden="1">
      <c r="A41" s="1">
        <v>10495.0</v>
      </c>
      <c r="B41" s="1" t="s">
        <v>4445</v>
      </c>
      <c r="C41" s="1" t="str">
        <f>IFERROR(__xludf.DUMMYFUNCTION("GOOGLETRANSLATE(B41)"),"Assessment of the recovery and resilience plan
")</f>
        <v>Assessment of the recovery and resilience plan
</v>
      </c>
      <c r="D41" s="1" t="s">
        <v>4425</v>
      </c>
      <c r="E41" s="1" t="s">
        <v>4426</v>
      </c>
      <c r="F41" s="1" t="s">
        <v>305</v>
      </c>
      <c r="G41" s="1"/>
      <c r="H41" s="1">
        <v>2021.0</v>
      </c>
      <c r="I41" s="1" t="s">
        <v>24</v>
      </c>
      <c r="J41" s="4" t="s">
        <v>4446</v>
      </c>
      <c r="K41" s="4" t="s">
        <v>4447</v>
      </c>
      <c r="L41" s="1" t="s">
        <v>4312</v>
      </c>
      <c r="N41" s="1" t="s">
        <v>92</v>
      </c>
    </row>
    <row r="42" hidden="1">
      <c r="A42" s="1">
        <v>10495.0</v>
      </c>
      <c r="B42" s="1" t="s">
        <v>4448</v>
      </c>
      <c r="C42" s="1" t="str">
        <f>IFERROR(__xludf.DUMMYFUNCTION("GOOGLETRANSLATE(B42)"),"ANNEX to the Council Implementing Decision on the approval of the assessment of the recovery and resilience plan for Czechia")</f>
        <v>ANNEX to the Council Implementing Decision on the approval of the assessment of the recovery and resilience plan for Czechia</v>
      </c>
      <c r="D42" s="1" t="s">
        <v>4425</v>
      </c>
      <c r="E42" s="1" t="s">
        <v>4426</v>
      </c>
      <c r="F42" s="1" t="s">
        <v>972</v>
      </c>
      <c r="G42" s="1"/>
      <c r="H42" s="1">
        <v>2021.0</v>
      </c>
      <c r="I42" s="1" t="s">
        <v>24</v>
      </c>
      <c r="J42" s="4" t="s">
        <v>4449</v>
      </c>
      <c r="K42" s="4" t="s">
        <v>4450</v>
      </c>
      <c r="L42" s="1" t="s">
        <v>4312</v>
      </c>
      <c r="N42" s="1" t="s">
        <v>92</v>
      </c>
    </row>
    <row r="43" hidden="1">
      <c r="A43" s="1">
        <v>10495.0</v>
      </c>
      <c r="B43" s="1" t="s">
        <v>4451</v>
      </c>
      <c r="C43" s="1" t="str">
        <f>IFERROR(__xludf.DUMMYFUNCTION("GOOGLETRANSLATE(B43)"),"National Restore Plan (Website)")</f>
        <v>National Restore Plan (Website)</v>
      </c>
      <c r="D43" s="1" t="s">
        <v>4425</v>
      </c>
      <c r="E43" s="1" t="s">
        <v>4426</v>
      </c>
      <c r="F43" s="1" t="s">
        <v>234</v>
      </c>
      <c r="G43" s="1"/>
      <c r="H43" s="1">
        <v>2021.0</v>
      </c>
      <c r="I43" s="1" t="s">
        <v>4427</v>
      </c>
      <c r="J43" s="1" t="s">
        <v>4452</v>
      </c>
      <c r="K43" s="4" t="s">
        <v>4453</v>
      </c>
      <c r="L43" s="1" t="s">
        <v>4312</v>
      </c>
      <c r="N43" s="1" t="s">
        <v>326</v>
      </c>
    </row>
    <row r="44" hidden="1">
      <c r="A44" s="1">
        <v>10495.0</v>
      </c>
      <c r="B44" s="1" t="s">
        <v>4454</v>
      </c>
      <c r="C44" s="1" t="str">
        <f>IFERROR(__xludf.DUMMYFUNCTION("GOOGLETRANSLATE(B44)"),"Factsheet: Czechia’s recovery and resilience plan
")</f>
        <v>Factsheet: Czechia’s recovery and resilience plan
</v>
      </c>
      <c r="D44" s="1" t="s">
        <v>4425</v>
      </c>
      <c r="E44" s="1" t="s">
        <v>4426</v>
      </c>
      <c r="F44" s="1" t="s">
        <v>1532</v>
      </c>
      <c r="G44" s="1"/>
      <c r="H44" s="1">
        <v>2021.0</v>
      </c>
      <c r="I44" s="1" t="s">
        <v>24</v>
      </c>
      <c r="J44" s="1" t="s">
        <v>4455</v>
      </c>
      <c r="K44" s="4" t="s">
        <v>4456</v>
      </c>
      <c r="L44" s="1" t="s">
        <v>4312</v>
      </c>
      <c r="N44" s="1" t="s">
        <v>92</v>
      </c>
    </row>
    <row r="45" hidden="1">
      <c r="A45" s="1">
        <v>3001.0</v>
      </c>
      <c r="B45" s="1" t="s">
        <v>4457</v>
      </c>
      <c r="C45" s="1" t="s">
        <v>4458</v>
      </c>
      <c r="D45" s="1" t="s">
        <v>4459</v>
      </c>
      <c r="E45" s="1" t="s">
        <v>4460</v>
      </c>
      <c r="F45" s="1" t="s">
        <v>4461</v>
      </c>
      <c r="G45" s="1"/>
      <c r="H45" s="1">
        <v>2012.0</v>
      </c>
      <c r="I45" s="1" t="s">
        <v>811</v>
      </c>
      <c r="J45" s="1" t="s">
        <v>4462</v>
      </c>
      <c r="K45" s="4" t="s">
        <v>4463</v>
      </c>
      <c r="L45" s="1" t="s">
        <v>4312</v>
      </c>
      <c r="N45" s="1" t="s">
        <v>23</v>
      </c>
    </row>
    <row r="46" hidden="1">
      <c r="A46" s="1">
        <v>3001.0</v>
      </c>
      <c r="B46" s="1" t="s">
        <v>4464</v>
      </c>
      <c r="C46" s="1" t="str">
        <f>IFERROR(__xludf.DUMMYFUNCTION("GOOGLETRANSLATE(B46)"),"STRATEGIC DEVELOPMENT PLAN 2011-2030 of the Republic of Cote d’Ivoire: PROJECT SHEETS for  Conventional Electricity, Renewable and other New Energy")</f>
        <v>STRATEGIC DEVELOPMENT PLAN 2011-2030 of the Republic of Cote d’Ivoire: PROJECT SHEETS for  Conventional Electricity, Renewable and other New Energy</v>
      </c>
      <c r="D46" s="1" t="s">
        <v>4459</v>
      </c>
      <c r="E46" s="1" t="s">
        <v>4460</v>
      </c>
      <c r="F46" s="1" t="s">
        <v>234</v>
      </c>
      <c r="G46" s="1"/>
      <c r="H46" s="1">
        <v>2011.0</v>
      </c>
      <c r="I46" s="1" t="s">
        <v>24</v>
      </c>
      <c r="J46" s="1" t="s">
        <v>4465</v>
      </c>
      <c r="K46" s="4" t="s">
        <v>4466</v>
      </c>
      <c r="L46" s="1" t="s">
        <v>4312</v>
      </c>
      <c r="N46" s="1" t="s">
        <v>23</v>
      </c>
    </row>
    <row r="47" hidden="1">
      <c r="A47" s="1">
        <v>9363.0</v>
      </c>
      <c r="B47" s="1" t="s">
        <v>4467</v>
      </c>
      <c r="C47" s="1" t="str">
        <f>IFERROR(__xludf.DUMMYFUNCTION("GOOGLETRANSLATE(B47)"),"Law on Climate (Climate Act)")</f>
        <v>Law on Climate (Climate Act)</v>
      </c>
      <c r="D47" s="1" t="s">
        <v>4468</v>
      </c>
      <c r="E47" s="1" t="s">
        <v>4469</v>
      </c>
      <c r="F47" s="1" t="s">
        <v>41</v>
      </c>
      <c r="G47" s="1"/>
      <c r="H47" s="1">
        <v>2020.0</v>
      </c>
      <c r="I47" s="1" t="s">
        <v>24</v>
      </c>
      <c r="J47" s="1" t="s">
        <v>4470</v>
      </c>
      <c r="K47" s="4" t="s">
        <v>4471</v>
      </c>
      <c r="L47" s="1" t="s">
        <v>4312</v>
      </c>
      <c r="N47" s="1" t="s">
        <v>23</v>
      </c>
    </row>
    <row r="48" hidden="1">
      <c r="A48" s="1">
        <v>9363.0</v>
      </c>
      <c r="B48" s="1" t="s">
        <v>4472</v>
      </c>
      <c r="C48" s="1" t="str">
        <f>IFERROR(__xludf.DUMMYFUNCTION("GOOGLETRANSLATE(B48)"),"Law on Climate")</f>
        <v>Law on Climate</v>
      </c>
      <c r="D48" s="1" t="s">
        <v>4468</v>
      </c>
      <c r="E48" s="1" t="s">
        <v>4469</v>
      </c>
      <c r="F48" s="1" t="s">
        <v>41</v>
      </c>
      <c r="G48" s="1"/>
      <c r="H48" s="1">
        <v>2020.0</v>
      </c>
      <c r="I48" s="1" t="s">
        <v>4473</v>
      </c>
      <c r="J48" s="1" t="s">
        <v>4474</v>
      </c>
      <c r="K48" s="4" t="s">
        <v>4475</v>
      </c>
      <c r="L48" s="1" t="s">
        <v>4312</v>
      </c>
      <c r="N48" s="1" t="s">
        <v>92</v>
      </c>
    </row>
    <row r="49" hidden="1">
      <c r="A49" s="1">
        <v>9404.0</v>
      </c>
      <c r="B49" s="1" t="s">
        <v>4476</v>
      </c>
      <c r="C49" s="1" t="str">
        <f>IFERROR(__xludf.DUMMYFUNCTION("GOOGLETRANSLATE(B49)"),"Executive Order of the Sustainable Biofuel Act and on the reduction of greenhouse gases from transport")</f>
        <v>Executive Order of the Sustainable Biofuel Act and on the reduction of greenhouse gases from transport</v>
      </c>
      <c r="D49" s="1" t="s">
        <v>4468</v>
      </c>
      <c r="E49" s="1" t="s">
        <v>4469</v>
      </c>
      <c r="F49" s="1" t="s">
        <v>4477</v>
      </c>
      <c r="G49" s="1"/>
      <c r="H49" s="1">
        <v>2011.0</v>
      </c>
      <c r="I49" s="1" t="s">
        <v>4473</v>
      </c>
      <c r="J49" s="4" t="s">
        <v>4478</v>
      </c>
      <c r="K49" s="4" t="s">
        <v>4479</v>
      </c>
      <c r="L49" s="1" t="s">
        <v>4312</v>
      </c>
      <c r="N49" s="1" t="s">
        <v>92</v>
      </c>
    </row>
    <row r="50" hidden="1">
      <c r="A50" s="1">
        <v>9404.0</v>
      </c>
      <c r="B50" s="1" t="s">
        <v>4480</v>
      </c>
      <c r="C50" s="1" t="str">
        <f>IFERROR(__xludf.DUMMYFUNCTION("GOOGLETRANSLATE(B50)"),"Executive Order of the Sustainable Biofuel Act and on the reduction of greenhouse gases (Biofuel Act)")</f>
        <v>Executive Order of the Sustainable Biofuel Act and on the reduction of greenhouse gases (Biofuel Act)</v>
      </c>
      <c r="D50" s="1" t="s">
        <v>4468</v>
      </c>
      <c r="E50" s="1" t="s">
        <v>4469</v>
      </c>
      <c r="F50" s="1" t="s">
        <v>4477</v>
      </c>
      <c r="G50" s="1"/>
      <c r="H50" s="1">
        <v>2020.0</v>
      </c>
      <c r="I50" s="1" t="s">
        <v>4473</v>
      </c>
      <c r="J50" s="4" t="s">
        <v>4481</v>
      </c>
      <c r="K50" s="4" t="s">
        <v>4482</v>
      </c>
      <c r="L50" s="1" t="s">
        <v>4312</v>
      </c>
      <c r="N50" s="1" t="s">
        <v>92</v>
      </c>
    </row>
    <row r="51" hidden="1">
      <c r="A51" s="1">
        <v>9404.0</v>
      </c>
      <c r="B51" s="1" t="s">
        <v>4483</v>
      </c>
      <c r="C51" s="1" t="str">
        <f>IFERROR(__xludf.DUMMYFUNCTION("GOOGLETRANSLATE(B51)"),"Act amending the Sustainable Biofuel Act and on the reduction of greenhouse gases from transport")</f>
        <v>Act amending the Sustainable Biofuel Act and on the reduction of greenhouse gases from transport</v>
      </c>
      <c r="D51" s="1" t="s">
        <v>4468</v>
      </c>
      <c r="E51" s="1" t="s">
        <v>4469</v>
      </c>
      <c r="F51" s="1" t="s">
        <v>41</v>
      </c>
      <c r="G51" s="1"/>
      <c r="H51" s="1">
        <v>2016.0</v>
      </c>
      <c r="I51" s="1" t="s">
        <v>4473</v>
      </c>
      <c r="J51" s="4" t="s">
        <v>4484</v>
      </c>
      <c r="K51" s="4" t="s">
        <v>4485</v>
      </c>
      <c r="L51" s="1" t="s">
        <v>4312</v>
      </c>
      <c r="N51" s="1" t="s">
        <v>92</v>
      </c>
    </row>
    <row r="52" hidden="1">
      <c r="A52" s="1">
        <v>10496.0</v>
      </c>
      <c r="B52" s="1" t="s">
        <v>4486</v>
      </c>
      <c r="C52" s="1" t="str">
        <f>IFERROR(__xludf.DUMMYFUNCTION("GOOGLETRANSLATE(B52)"),"Assessment of the recovery and resilience plan")</f>
        <v>Assessment of the recovery and resilience plan</v>
      </c>
      <c r="D52" s="1" t="s">
        <v>4468</v>
      </c>
      <c r="E52" s="1" t="s">
        <v>4469</v>
      </c>
      <c r="F52" s="1" t="s">
        <v>305</v>
      </c>
      <c r="G52" s="1"/>
      <c r="H52" s="1">
        <v>2021.0</v>
      </c>
      <c r="I52" s="1" t="s">
        <v>24</v>
      </c>
      <c r="J52" s="4" t="s">
        <v>4487</v>
      </c>
      <c r="K52" s="4" t="s">
        <v>4488</v>
      </c>
      <c r="L52" s="1" t="s">
        <v>4312</v>
      </c>
      <c r="N52" s="1" t="s">
        <v>92</v>
      </c>
    </row>
    <row r="53" hidden="1">
      <c r="A53" s="1">
        <v>10496.0</v>
      </c>
      <c r="B53" s="1" t="s">
        <v>4489</v>
      </c>
      <c r="C53" s="1" t="str">
        <f>IFERROR(__xludf.DUMMYFUNCTION("GOOGLETRANSLATE(B53)"),"ANNEX to the Council Implementing Decision on the approval of the assessment of the recovery and resilience plan for Denmark")</f>
        <v>ANNEX to the Council Implementing Decision on the approval of the assessment of the recovery and resilience plan for Denmark</v>
      </c>
      <c r="D53" s="1" t="s">
        <v>4468</v>
      </c>
      <c r="E53" s="1" t="s">
        <v>4469</v>
      </c>
      <c r="F53" s="1" t="s">
        <v>972</v>
      </c>
      <c r="G53" s="1"/>
      <c r="H53" s="1">
        <v>2021.0</v>
      </c>
      <c r="I53" s="1" t="s">
        <v>24</v>
      </c>
      <c r="J53" s="4" t="s">
        <v>4490</v>
      </c>
      <c r="K53" s="4" t="s">
        <v>4491</v>
      </c>
      <c r="L53" s="1" t="s">
        <v>4312</v>
      </c>
      <c r="N53" s="1" t="s">
        <v>92</v>
      </c>
    </row>
    <row r="54" hidden="1">
      <c r="A54" s="1">
        <v>10496.0</v>
      </c>
      <c r="B54" s="1" t="s">
        <v>4492</v>
      </c>
      <c r="C54" s="1" t="str">
        <f>IFERROR(__xludf.DUMMYFUNCTION("GOOGLETRANSLATE(B54)"),"Factsheet: Denmark’s recovery and resilience plan")</f>
        <v>Factsheet: Denmark’s recovery and resilience plan</v>
      </c>
      <c r="D54" s="1" t="s">
        <v>4468</v>
      </c>
      <c r="E54" s="1" t="s">
        <v>4469</v>
      </c>
      <c r="F54" s="1" t="s">
        <v>1532</v>
      </c>
      <c r="G54" s="1"/>
      <c r="H54" s="1">
        <v>2021.0</v>
      </c>
      <c r="I54" s="1" t="s">
        <v>24</v>
      </c>
      <c r="J54" s="1" t="s">
        <v>4493</v>
      </c>
      <c r="K54" s="4" t="s">
        <v>4494</v>
      </c>
      <c r="L54" s="1" t="s">
        <v>4312</v>
      </c>
      <c r="N54" s="1" t="s">
        <v>92</v>
      </c>
    </row>
    <row r="55" hidden="1">
      <c r="A55" s="1">
        <v>10496.0</v>
      </c>
      <c r="B55" s="1" t="s">
        <v>4495</v>
      </c>
      <c r="C55" s="1" t="str">
        <f>IFERROR(__xludf.DUMMYFUNCTION("GOOGLETRANSLATE(B55)"),"Danish recovery plan must support the green transition")</f>
        <v>Danish recovery plan must support the green transition</v>
      </c>
      <c r="D55" s="1" t="s">
        <v>4468</v>
      </c>
      <c r="E55" s="1" t="s">
        <v>4469</v>
      </c>
      <c r="F55" s="1" t="s">
        <v>1532</v>
      </c>
      <c r="G55" s="1"/>
      <c r="H55" s="1">
        <v>2021.0</v>
      </c>
      <c r="I55" s="1" t="s">
        <v>4473</v>
      </c>
      <c r="J55" s="1" t="s">
        <v>4496</v>
      </c>
      <c r="K55" s="4" t="s">
        <v>4497</v>
      </c>
      <c r="L55" s="1" t="s">
        <v>4312</v>
      </c>
      <c r="N55" s="1" t="s">
        <v>92</v>
      </c>
      <c r="O55" s="1" t="s">
        <v>4498</v>
      </c>
    </row>
    <row r="56" hidden="1">
      <c r="A56" s="1">
        <v>1165.0</v>
      </c>
      <c r="B56" s="1" t="s">
        <v>4499</v>
      </c>
      <c r="C56" s="1" t="str">
        <f>IFERROR(__xludf.DUMMYFUNCTION("GOOGLETRANSLATE(B56)"),"Law No. 5707 on incentive for the development of renewable energy sources and their special regimes")</f>
        <v>Law No. 5707 on incentive for the development of renewable energy sources and their special regimes</v>
      </c>
      <c r="D56" s="1" t="s">
        <v>4500</v>
      </c>
      <c r="E56" s="1" t="s">
        <v>4501</v>
      </c>
      <c r="F56" s="1" t="s">
        <v>41</v>
      </c>
      <c r="G56" s="1"/>
      <c r="H56" s="1">
        <v>2007.0</v>
      </c>
      <c r="I56" s="1" t="s">
        <v>924</v>
      </c>
      <c r="J56" s="1" t="s">
        <v>4502</v>
      </c>
      <c r="K56" s="4" t="s">
        <v>4503</v>
      </c>
      <c r="L56" s="1" t="s">
        <v>4312</v>
      </c>
      <c r="N56" s="1" t="s">
        <v>23</v>
      </c>
    </row>
    <row r="57" hidden="1">
      <c r="A57" s="1">
        <v>1165.0</v>
      </c>
      <c r="B57" s="1" t="s">
        <v>4504</v>
      </c>
      <c r="C57" s="1" t="str">
        <f>IFERROR(__xludf.DUMMYFUNCTION("GOOGLETRANSLATE(B57)"),"Law number 57-07 on incentive for the development of renewable energy sources and their special regimes: Regulation Decree 202-08")</f>
        <v>Law number 57-07 on incentive for the development of renewable energy sources and their special regimes: Regulation Decree 202-08</v>
      </c>
      <c r="D57" s="1" t="s">
        <v>4500</v>
      </c>
      <c r="E57" s="1" t="s">
        <v>4501</v>
      </c>
      <c r="F57" s="1" t="s">
        <v>18</v>
      </c>
      <c r="G57" s="1"/>
      <c r="H57" s="1">
        <v>2012.0</v>
      </c>
      <c r="I57" s="1" t="s">
        <v>924</v>
      </c>
      <c r="J57" s="1" t="s">
        <v>4505</v>
      </c>
      <c r="K57" s="4" t="s">
        <v>4506</v>
      </c>
      <c r="L57" s="1" t="s">
        <v>4312</v>
      </c>
      <c r="N57" s="1" t="s">
        <v>23</v>
      </c>
    </row>
    <row r="58" hidden="1">
      <c r="A58" s="1">
        <v>1167.0</v>
      </c>
      <c r="B58" s="1" t="s">
        <v>4507</v>
      </c>
      <c r="C58" s="18" t="s">
        <v>4508</v>
      </c>
      <c r="D58" s="1" t="s">
        <v>4500</v>
      </c>
      <c r="E58" s="1" t="s">
        <v>4501</v>
      </c>
      <c r="F58" s="1" t="s">
        <v>41</v>
      </c>
      <c r="G58" s="1"/>
      <c r="H58" s="1">
        <v>2000.0</v>
      </c>
      <c r="I58" s="1" t="s">
        <v>924</v>
      </c>
      <c r="J58" s="1" t="s">
        <v>4509</v>
      </c>
      <c r="K58" s="4" t="s">
        <v>4510</v>
      </c>
      <c r="L58" s="1" t="s">
        <v>4312</v>
      </c>
      <c r="N58" s="1" t="s">
        <v>23</v>
      </c>
    </row>
    <row r="59" hidden="1">
      <c r="A59" s="1">
        <v>1167.0</v>
      </c>
      <c r="B59" s="1" t="s">
        <v>4511</v>
      </c>
      <c r="C59" s="18" t="s">
        <v>4512</v>
      </c>
      <c r="D59" s="1" t="s">
        <v>4500</v>
      </c>
      <c r="E59" s="1" t="s">
        <v>4501</v>
      </c>
      <c r="F59" s="1" t="s">
        <v>18</v>
      </c>
      <c r="G59" s="1"/>
      <c r="H59" s="1">
        <v>2001.0</v>
      </c>
      <c r="I59" s="1" t="s">
        <v>924</v>
      </c>
      <c r="J59" s="1" t="s">
        <v>4513</v>
      </c>
      <c r="K59" s="4" t="s">
        <v>4514</v>
      </c>
      <c r="L59" s="1" t="s">
        <v>4312</v>
      </c>
      <c r="N59" s="1" t="s">
        <v>23</v>
      </c>
    </row>
    <row r="60" hidden="1">
      <c r="A60" s="1">
        <v>1169.0</v>
      </c>
      <c r="B60" s="1" t="s">
        <v>4515</v>
      </c>
      <c r="C60" s="1" t="str">
        <f>IFERROR(__xludf.DUMMYFUNCTION("GOOGLETRANSLATE(B60)"),"National Plan for Good Living 2013-2017")</f>
        <v>National Plan for Good Living 2013-2017</v>
      </c>
      <c r="D60" s="1" t="s">
        <v>4516</v>
      </c>
      <c r="E60" s="1" t="s">
        <v>4517</v>
      </c>
      <c r="F60" s="1" t="s">
        <v>234</v>
      </c>
      <c r="G60" s="1"/>
      <c r="H60" s="1">
        <v>2013.0</v>
      </c>
      <c r="I60" s="1" t="s">
        <v>924</v>
      </c>
      <c r="J60" s="1" t="s">
        <v>4518</v>
      </c>
      <c r="K60" s="4" t="s">
        <v>4519</v>
      </c>
      <c r="L60" s="1" t="s">
        <v>4312</v>
      </c>
      <c r="N60" s="1" t="s">
        <v>37</v>
      </c>
    </row>
    <row r="61" hidden="1">
      <c r="A61" s="1">
        <v>1169.0</v>
      </c>
      <c r="B61" s="1" t="s">
        <v>4520</v>
      </c>
      <c r="C61" s="1" t="str">
        <f>IFERROR(__xludf.DUMMYFUNCTION("GOOGLETRANSLATE(B61)"),"National Development Plan 2017-2021")</f>
        <v>National Development Plan 2017-2021</v>
      </c>
      <c r="D61" s="1" t="s">
        <v>4516</v>
      </c>
      <c r="E61" s="1" t="s">
        <v>4517</v>
      </c>
      <c r="F61" s="1" t="s">
        <v>234</v>
      </c>
      <c r="G61" s="1"/>
      <c r="H61" s="1">
        <v>2017.0</v>
      </c>
      <c r="I61" s="1" t="s">
        <v>924</v>
      </c>
      <c r="J61" s="1" t="s">
        <v>4521</v>
      </c>
      <c r="K61" s="4" t="s">
        <v>4522</v>
      </c>
      <c r="L61" s="1" t="s">
        <v>4312</v>
      </c>
      <c r="N61" s="1" t="s">
        <v>23</v>
      </c>
    </row>
    <row r="62" hidden="1">
      <c r="A62" s="1">
        <v>1169.0</v>
      </c>
      <c r="B62" s="1" t="s">
        <v>4523</v>
      </c>
      <c r="C62" s="1" t="str">
        <f>IFERROR(__xludf.DUMMYFUNCTION("GOOGLETRANSLATE(B62)"),"Good Living National Plan 2013-2017")</f>
        <v>Good Living National Plan 2013-2017</v>
      </c>
      <c r="D62" s="1" t="s">
        <v>4516</v>
      </c>
      <c r="E62" s="1" t="s">
        <v>4517</v>
      </c>
      <c r="F62" s="1" t="s">
        <v>234</v>
      </c>
      <c r="G62" s="1"/>
      <c r="H62" s="1">
        <v>2013.0</v>
      </c>
      <c r="I62" s="1" t="s">
        <v>924</v>
      </c>
      <c r="J62" s="1" t="s">
        <v>4524</v>
      </c>
      <c r="K62" s="4" t="s">
        <v>4525</v>
      </c>
      <c r="L62" s="1" t="s">
        <v>4312</v>
      </c>
      <c r="N62" s="1" t="s">
        <v>37</v>
      </c>
    </row>
    <row r="63" hidden="1">
      <c r="A63" s="1">
        <v>1171.0</v>
      </c>
      <c r="B63" s="1" t="s">
        <v>4526</v>
      </c>
      <c r="C63" s="1" t="s">
        <v>4527</v>
      </c>
      <c r="D63" s="1" t="s">
        <v>4516</v>
      </c>
      <c r="E63" s="1" t="s">
        <v>4517</v>
      </c>
      <c r="F63" s="1" t="s">
        <v>18</v>
      </c>
      <c r="G63" s="1"/>
      <c r="H63" s="1">
        <v>2011.0</v>
      </c>
      <c r="I63" s="1" t="s">
        <v>924</v>
      </c>
      <c r="J63" s="1" t="s">
        <v>4528</v>
      </c>
      <c r="K63" s="4" t="s">
        <v>4529</v>
      </c>
      <c r="L63" s="1" t="s">
        <v>4312</v>
      </c>
      <c r="N63" s="1" t="s">
        <v>37</v>
      </c>
    </row>
    <row r="64" hidden="1">
      <c r="A64" s="1">
        <v>1171.0</v>
      </c>
      <c r="B64" s="9" t="s">
        <v>4530</v>
      </c>
      <c r="C64" s="1" t="str">
        <f>IFERROR(__xludf.DUMMYFUNCTION("GOOGLETRANSLATE(B64)"),"Programme RENOVA (Executive Decree No. 741)")</f>
        <v>Programme RENOVA (Executive Decree No. 741)</v>
      </c>
      <c r="D64" s="1" t="s">
        <v>4516</v>
      </c>
      <c r="E64" s="1" t="s">
        <v>4517</v>
      </c>
      <c r="F64" s="1" t="s">
        <v>18</v>
      </c>
      <c r="G64" s="1"/>
      <c r="H64" s="1">
        <v>2011.0</v>
      </c>
      <c r="I64" s="1" t="s">
        <v>924</v>
      </c>
      <c r="J64" s="1" t="s">
        <v>4531</v>
      </c>
      <c r="K64" s="4" t="s">
        <v>4532</v>
      </c>
      <c r="L64" s="1" t="s">
        <v>4312</v>
      </c>
      <c r="N64" s="1" t="s">
        <v>37</v>
      </c>
    </row>
    <row r="65" hidden="1">
      <c r="A65" s="1">
        <v>1171.0</v>
      </c>
      <c r="B65" s="9" t="s">
        <v>4533</v>
      </c>
      <c r="C65" s="9" t="s">
        <v>4534</v>
      </c>
      <c r="D65" s="1" t="s">
        <v>4516</v>
      </c>
      <c r="E65" s="1" t="s">
        <v>4517</v>
      </c>
      <c r="F65" s="1" t="s">
        <v>18</v>
      </c>
      <c r="G65" s="1"/>
      <c r="H65" s="1">
        <v>2010.0</v>
      </c>
      <c r="I65" s="1" t="s">
        <v>924</v>
      </c>
      <c r="J65" s="1" t="s">
        <v>4535</v>
      </c>
      <c r="K65" s="4" t="s">
        <v>4536</v>
      </c>
      <c r="L65" s="1" t="s">
        <v>4312</v>
      </c>
      <c r="N65" s="1" t="s">
        <v>37</v>
      </c>
    </row>
    <row r="66" hidden="1">
      <c r="A66" s="1">
        <v>1171.0</v>
      </c>
      <c r="B66" s="9" t="s">
        <v>4537</v>
      </c>
      <c r="C66" s="9" t="s">
        <v>4538</v>
      </c>
      <c r="D66" s="1" t="s">
        <v>4516</v>
      </c>
      <c r="E66" s="1" t="s">
        <v>4517</v>
      </c>
      <c r="F66" s="1" t="s">
        <v>18</v>
      </c>
      <c r="G66" s="1"/>
      <c r="H66" s="1">
        <v>2014.0</v>
      </c>
      <c r="I66" s="1" t="s">
        <v>924</v>
      </c>
      <c r="J66" s="1" t="s">
        <v>4539</v>
      </c>
      <c r="K66" s="4" t="s">
        <v>4540</v>
      </c>
      <c r="L66" s="1" t="s">
        <v>4312</v>
      </c>
      <c r="N66" s="1" t="s">
        <v>23</v>
      </c>
    </row>
    <row r="67" hidden="1">
      <c r="A67" s="1">
        <v>9500.0</v>
      </c>
      <c r="B67" s="1" t="s">
        <v>4541</v>
      </c>
      <c r="C67" s="1" t="str">
        <f>IFERROR(__xludf.DUMMYFUNCTION("GOOGLETRANSLATE(B67)"),"Estonia’s 2030 National Energy and Climate Plan (NECP 2030)")</f>
        <v>Estonia’s 2030 National Energy and Climate Plan (NECP 2030)</v>
      </c>
      <c r="D67" s="1" t="s">
        <v>4542</v>
      </c>
      <c r="E67" s="1" t="s">
        <v>4543</v>
      </c>
      <c r="F67" s="1" t="s">
        <v>234</v>
      </c>
      <c r="G67" s="1"/>
      <c r="H67" s="1">
        <v>2019.0</v>
      </c>
      <c r="I67" s="1" t="s">
        <v>24</v>
      </c>
      <c r="J67" s="1" t="s">
        <v>4544</v>
      </c>
      <c r="K67" s="4" t="s">
        <v>4545</v>
      </c>
      <c r="L67" s="1" t="s">
        <v>4312</v>
      </c>
      <c r="N67" s="1" t="s">
        <v>23</v>
      </c>
    </row>
    <row r="68" hidden="1">
      <c r="A68" s="1">
        <v>9500.0</v>
      </c>
      <c r="B68" s="1" t="s">
        <v>4546</v>
      </c>
      <c r="C68" s="1" t="str">
        <f>IFERROR(__xludf.DUMMYFUNCTION("GOOGLETRANSLATE(B68)"),"Estonian National Energy and Climate Plan until 2030 (REKK 2030)")</f>
        <v>Estonian National Energy and Climate Plan until 2030 (REKK 2030)</v>
      </c>
      <c r="D68" s="1" t="s">
        <v>4542</v>
      </c>
      <c r="E68" s="1" t="s">
        <v>4543</v>
      </c>
      <c r="F68" s="1" t="s">
        <v>234</v>
      </c>
      <c r="G68" s="1"/>
      <c r="H68" s="1">
        <v>2019.0</v>
      </c>
      <c r="I68" s="1" t="s">
        <v>4547</v>
      </c>
      <c r="J68" s="1" t="s">
        <v>4548</v>
      </c>
      <c r="K68" s="4" t="s">
        <v>4549</v>
      </c>
      <c r="L68" s="1" t="s">
        <v>4312</v>
      </c>
      <c r="N68" s="1" t="s">
        <v>23</v>
      </c>
    </row>
    <row r="69" hidden="1">
      <c r="A69" s="1">
        <v>10497.0</v>
      </c>
      <c r="B69" s="1" t="s">
        <v>4550</v>
      </c>
      <c r="C69" s="1" t="str">
        <f>IFERROR(__xludf.DUMMYFUNCTION("GOOGLETRANSLATE(B69)"),"Estonia’s recovery and resilience plan")</f>
        <v>Estonia’s recovery and resilience plan</v>
      </c>
      <c r="D69" s="1" t="s">
        <v>4542</v>
      </c>
      <c r="E69" s="1" t="s">
        <v>4543</v>
      </c>
      <c r="F69" s="1" t="s">
        <v>234</v>
      </c>
      <c r="G69" s="1"/>
      <c r="H69" s="1">
        <v>2021.0</v>
      </c>
      <c r="I69" s="1" t="s">
        <v>24</v>
      </c>
      <c r="J69" s="1" t="s">
        <v>4551</v>
      </c>
      <c r="K69" s="4" t="s">
        <v>4552</v>
      </c>
      <c r="L69" s="1" t="s">
        <v>4312</v>
      </c>
      <c r="N69" s="1" t="s">
        <v>92</v>
      </c>
    </row>
    <row r="70" hidden="1">
      <c r="A70" s="1">
        <v>10497.0</v>
      </c>
      <c r="B70" s="1" t="s">
        <v>4553</v>
      </c>
      <c r="C70" s="1" t="str">
        <f>IFERROR(__xludf.DUMMYFUNCTION("GOOGLETRANSLATE(B70)"),"Proposal for a Council Implementing Decision on the approval of the assessment of the recovery and resilience plan of Estonia and Annex")</f>
        <v>Proposal for a Council Implementing Decision on the approval of the assessment of the recovery and resilience plan of Estonia and Annex</v>
      </c>
      <c r="D70" s="1" t="s">
        <v>4542</v>
      </c>
      <c r="E70" s="1" t="s">
        <v>4543</v>
      </c>
      <c r="F70" s="1" t="s">
        <v>247</v>
      </c>
      <c r="G70" s="1"/>
      <c r="H70" s="1">
        <v>2021.0</v>
      </c>
      <c r="I70" s="1" t="s">
        <v>24</v>
      </c>
      <c r="J70" s="1" t="s">
        <v>4554</v>
      </c>
      <c r="K70" s="4" t="s">
        <v>4555</v>
      </c>
      <c r="L70" s="1" t="s">
        <v>4312</v>
      </c>
      <c r="N70" s="1" t="s">
        <v>92</v>
      </c>
    </row>
    <row r="71" hidden="1">
      <c r="A71" s="1">
        <v>10497.0</v>
      </c>
      <c r="B71" s="1" t="s">
        <v>4556</v>
      </c>
      <c r="C71" s="1" t="str">
        <f>IFERROR(__xludf.DUMMYFUNCTION("GOOGLETRANSLATE(B71)"),"Rehabilitation and Resilience Facility (RRF) for Estonia - website")</f>
        <v>Rehabilitation and Resilience Facility (RRF) for Estonia - website</v>
      </c>
      <c r="D71" s="1" t="s">
        <v>4542</v>
      </c>
      <c r="E71" s="1" t="s">
        <v>4543</v>
      </c>
      <c r="F71" s="9" t="s">
        <v>234</v>
      </c>
      <c r="G71" s="1"/>
      <c r="H71" s="1">
        <v>2022.0</v>
      </c>
      <c r="I71" s="1" t="s">
        <v>24</v>
      </c>
      <c r="J71" s="1" t="s">
        <v>4557</v>
      </c>
      <c r="K71" s="4" t="s">
        <v>4558</v>
      </c>
      <c r="L71" s="1" t="s">
        <v>4312</v>
      </c>
      <c r="N71" s="1" t="s">
        <v>326</v>
      </c>
    </row>
    <row r="72" hidden="1">
      <c r="A72" s="1">
        <v>10497.0</v>
      </c>
      <c r="B72" s="1" t="s">
        <v>4559</v>
      </c>
      <c r="C72" s="1" t="str">
        <f>IFERROR(__xludf.DUMMYFUNCTION("GOOGLETRANSLATE(B72)"),"Factsheet: Estonia's recovery and resilience plan")</f>
        <v>Factsheet: Estonia's recovery and resilience plan</v>
      </c>
      <c r="D72" s="1" t="s">
        <v>4542</v>
      </c>
      <c r="E72" s="1" t="s">
        <v>4543</v>
      </c>
      <c r="F72" s="1" t="s">
        <v>234</v>
      </c>
      <c r="G72" s="1"/>
      <c r="H72" s="1">
        <v>2021.0</v>
      </c>
      <c r="I72" s="1" t="s">
        <v>24</v>
      </c>
      <c r="J72" s="1" t="s">
        <v>4560</v>
      </c>
      <c r="K72" s="4" t="s">
        <v>4561</v>
      </c>
      <c r="L72" s="1" t="s">
        <v>4312</v>
      </c>
      <c r="N72" s="1" t="s">
        <v>23</v>
      </c>
    </row>
    <row r="73" hidden="1">
      <c r="A73" s="1">
        <v>10497.0</v>
      </c>
      <c r="B73" s="1" t="s">
        <v>4550</v>
      </c>
      <c r="C73" s="1" t="str">
        <f>IFERROR(__xludf.DUMMYFUNCTION("GOOGLETRANSLATE(B73)"),"Estonia’s recovery and resilience plan")</f>
        <v>Estonia’s recovery and resilience plan</v>
      </c>
      <c r="D73" s="1" t="s">
        <v>4542</v>
      </c>
      <c r="E73" s="1" t="s">
        <v>4543</v>
      </c>
      <c r="F73" s="1" t="s">
        <v>234</v>
      </c>
      <c r="G73" s="1"/>
      <c r="H73" s="1">
        <v>2021.0</v>
      </c>
      <c r="I73" s="1" t="s">
        <v>4547</v>
      </c>
      <c r="J73" s="1" t="s">
        <v>4562</v>
      </c>
      <c r="K73" s="4" t="s">
        <v>4563</v>
      </c>
      <c r="L73" s="1" t="s">
        <v>4312</v>
      </c>
      <c r="N73" s="1" t="s">
        <v>92</v>
      </c>
    </row>
    <row r="74" hidden="1">
      <c r="A74" s="1">
        <v>1196.0</v>
      </c>
      <c r="B74" s="1" t="s">
        <v>4564</v>
      </c>
      <c r="C74" s="1" t="str">
        <f>IFERROR(__xludf.DUMMYFUNCTION("GOOGLETRANSLATE(B74)"),"A policy framework for climate and energy in the period from 2020 to 2030")</f>
        <v>A policy framework for climate and energy in the period from 2020 to 2030</v>
      </c>
      <c r="D74" s="1" t="s">
        <v>4565</v>
      </c>
      <c r="E74" s="1" t="s">
        <v>4566</v>
      </c>
      <c r="F74" s="1" t="s">
        <v>259</v>
      </c>
      <c r="G74" s="1"/>
      <c r="H74" s="1">
        <v>2014.0</v>
      </c>
      <c r="I74" s="1" t="s">
        <v>24</v>
      </c>
      <c r="J74" s="1" t="s">
        <v>4567</v>
      </c>
      <c r="K74" s="4" t="s">
        <v>4568</v>
      </c>
      <c r="L74" s="1" t="s">
        <v>4312</v>
      </c>
      <c r="N74" s="1" t="s">
        <v>23</v>
      </c>
    </row>
    <row r="75" hidden="1">
      <c r="A75" s="1">
        <v>1196.0</v>
      </c>
      <c r="B75" s="1" t="s">
        <v>4569</v>
      </c>
      <c r="C75" s="1" t="str">
        <f>IFERROR(__xludf.DUMMYFUNCTION("GOOGLETRANSLATE(B75)"),"European Council (23 and 24 October 2014) ‒ Conclusions")</f>
        <v>European Council (23 and 24 October 2014) ‒ Conclusions</v>
      </c>
      <c r="D75" s="1" t="s">
        <v>4565</v>
      </c>
      <c r="E75" s="1" t="s">
        <v>4566</v>
      </c>
      <c r="F75" s="9" t="s">
        <v>1532</v>
      </c>
      <c r="G75" s="1"/>
      <c r="H75" s="1">
        <v>2014.0</v>
      </c>
      <c r="I75" s="1" t="s">
        <v>24</v>
      </c>
      <c r="J75" s="1" t="s">
        <v>4570</v>
      </c>
      <c r="K75" s="4" t="s">
        <v>4571</v>
      </c>
      <c r="L75" s="1" t="s">
        <v>4312</v>
      </c>
      <c r="N75" s="1" t="s">
        <v>23</v>
      </c>
    </row>
    <row r="76" hidden="1">
      <c r="A76" s="1">
        <v>1200.0</v>
      </c>
      <c r="B76" s="1" t="s">
        <v>4572</v>
      </c>
      <c r="C76" s="1" t="str">
        <f>IFERROR(__xludf.DUMMYFUNCTION("GOOGLETRANSLATE(B76)"),"The CAP towards 2020: Meeting the food, natural resources and territorial challenges of the future")</f>
        <v>The CAP towards 2020: Meeting the food, natural resources and territorial challenges of the future</v>
      </c>
      <c r="D76" s="1" t="s">
        <v>4565</v>
      </c>
      <c r="E76" s="1" t="s">
        <v>4566</v>
      </c>
      <c r="F76" s="9" t="s">
        <v>368</v>
      </c>
      <c r="G76" s="1"/>
      <c r="H76" s="1">
        <v>2010.0</v>
      </c>
      <c r="I76" s="1" t="s">
        <v>24</v>
      </c>
      <c r="J76" s="1" t="s">
        <v>4573</v>
      </c>
      <c r="K76" s="4" t="s">
        <v>4574</v>
      </c>
      <c r="L76" s="1" t="s">
        <v>4312</v>
      </c>
      <c r="N76" s="1" t="s">
        <v>23</v>
      </c>
    </row>
    <row r="77" hidden="1">
      <c r="A77" s="1">
        <v>1200.0</v>
      </c>
      <c r="B77" s="1" t="s">
        <v>4575</v>
      </c>
      <c r="C77" s="1" t="str">
        <f>IFERROR(__xludf.DUMMYFUNCTION("GOOGLETRANSLATE(B77)"),"Overview of CAP Reform 2014-2020")</f>
        <v>Overview of CAP Reform 2014-2020</v>
      </c>
      <c r="D77" s="1" t="s">
        <v>4565</v>
      </c>
      <c r="E77" s="1" t="s">
        <v>4566</v>
      </c>
      <c r="F77" s="9" t="s">
        <v>1532</v>
      </c>
      <c r="G77" s="1"/>
      <c r="H77" s="1">
        <v>2013.0</v>
      </c>
      <c r="I77" s="1" t="s">
        <v>24</v>
      </c>
      <c r="J77" s="1" t="s">
        <v>4576</v>
      </c>
      <c r="K77" s="4" t="s">
        <v>4577</v>
      </c>
      <c r="L77" s="1" t="s">
        <v>4312</v>
      </c>
      <c r="N77" s="1" t="s">
        <v>23</v>
      </c>
    </row>
    <row r="78" hidden="1">
      <c r="A78" s="1">
        <v>1200.0</v>
      </c>
      <c r="B78" s="1" t="s">
        <v>4578</v>
      </c>
      <c r="C78" s="1" t="str">
        <f>IFERROR(__xludf.DUMMYFUNCTION("GOOGLETRANSLATE(B78)"),"Regulation (EU) 2020/2220 of the European Parliament and of the Council of 23 December 2020 laying down certain transitional provisions for support from the European Agricultural Fund for Rural Development (EAFRD) and from the European Agricultural Guaran"&amp;"tee Fund (EAGF) in the years 2021 and 2022 and amending Regulations (EU) No 1305/2013, (EU) No 1306/2013 and (EU) No 1307/2013 as regards resources and application in the years 2021 and 2022 and Regulation (EU) No 1308/2013 as regards resources and the di"&amp;"stribution of such support in respect of the years 2021 and 2022")</f>
        <v>Regulation (EU) 2020/2220 of the European Parliament and of the Council of 23 December 2020 laying down certain transitional provisions for support from the European Agricultural Fund for Rural Development (EAFRD) and from the European Agricultural Guarantee Fund (EAGF) in the years 2021 and 2022 and amending Regulations (EU) No 1305/2013, (EU) No 1306/2013 and (EU) No 1307/2013 as regards resources and application in the years 2021 and 2022 and Regulation (EU) No 1308/2013 as regards resources and the distribution of such support in respect of the years 2021 and 2022</v>
      </c>
      <c r="D78" s="1" t="s">
        <v>4565</v>
      </c>
      <c r="E78" s="1" t="s">
        <v>4566</v>
      </c>
      <c r="F78" s="1" t="s">
        <v>4579</v>
      </c>
      <c r="G78" s="1"/>
      <c r="H78" s="1">
        <v>2020.0</v>
      </c>
      <c r="I78" s="1" t="s">
        <v>24</v>
      </c>
      <c r="J78" s="4" t="s">
        <v>4580</v>
      </c>
      <c r="K78" s="4" t="s">
        <v>4581</v>
      </c>
      <c r="L78" s="1" t="s">
        <v>4312</v>
      </c>
      <c r="N78" s="1" t="s">
        <v>326</v>
      </c>
    </row>
    <row r="79" hidden="1">
      <c r="A79" s="1">
        <v>1207.0</v>
      </c>
      <c r="B79" s="1" t="s">
        <v>4582</v>
      </c>
      <c r="C79" s="1" t="str">
        <f>IFERROR(__xludf.DUMMYFUNCTION("GOOGLETRANSLATE(B79)"),"Directive 2003/87/EC of the European Parliament and of the Council of 13 October 2003 establishing a scheme for greenhouse gas emission allowance trading within the Community and amending Council Directive 96/61/EC")</f>
        <v>Directive 2003/87/EC of the European Parliament and of the Council of 13 October 2003 establishing a scheme for greenhouse gas emission allowance trading within the Community and amending Council Directive 96/61/EC</v>
      </c>
      <c r="D79" s="1" t="s">
        <v>4565</v>
      </c>
      <c r="E79" s="1" t="s">
        <v>4566</v>
      </c>
      <c r="F79" s="1" t="s">
        <v>4583</v>
      </c>
      <c r="G79" s="1"/>
      <c r="H79" s="1">
        <v>2009.0</v>
      </c>
      <c r="I79" s="1" t="s">
        <v>24</v>
      </c>
      <c r="J79" s="4" t="s">
        <v>4584</v>
      </c>
      <c r="K79" s="4" t="s">
        <v>4585</v>
      </c>
      <c r="L79" s="1" t="s">
        <v>4312</v>
      </c>
      <c r="N79" s="1" t="s">
        <v>326</v>
      </c>
    </row>
    <row r="80" hidden="1">
      <c r="A80" s="1">
        <v>1207.0</v>
      </c>
      <c r="B80" s="1" t="s">
        <v>4586</v>
      </c>
      <c r="C80" s="1" t="str">
        <f>IFERROR(__xludf.DUMMYFUNCTION("GOOGLETRANSLATE(B80)"),"Directive 2009/29/EC of the European Parliament and of the Council of 23 April 2009 amending Directive 2003/87/EC so as to improve and extend the greenhouse gas emission allowance trading scheme of the Community")</f>
        <v>Directive 2009/29/EC of the European Parliament and of the Council of 23 April 2009 amending Directive 2003/87/EC so as to improve and extend the greenhouse gas emission allowance trading scheme of the Community</v>
      </c>
      <c r="D80" s="1" t="s">
        <v>4565</v>
      </c>
      <c r="E80" s="1" t="s">
        <v>4566</v>
      </c>
      <c r="F80" s="1" t="s">
        <v>4583</v>
      </c>
      <c r="G80" s="1"/>
      <c r="H80" s="1">
        <v>2009.0</v>
      </c>
      <c r="I80" s="1" t="s">
        <v>24</v>
      </c>
      <c r="J80" s="4" t="s">
        <v>4587</v>
      </c>
      <c r="K80" s="4" t="s">
        <v>4588</v>
      </c>
      <c r="L80" s="1" t="s">
        <v>4312</v>
      </c>
      <c r="N80" s="1" t="s">
        <v>326</v>
      </c>
    </row>
    <row r="81" hidden="1">
      <c r="A81" s="1">
        <v>1207.0</v>
      </c>
      <c r="B81" s="1" t="s">
        <v>4589</v>
      </c>
      <c r="C81" s="1" t="str">
        <f>IFERROR(__xludf.DUMMYFUNCTION("GOOGLETRANSLATE(B81)"),"DIRECTIVE (EU) 2018/410 OF THE EUROPEAN PARLIAMENT AND OF THE COUNCIL of 14 March 2018 amending Directive 2003/87/EC to enhance cost-effective emission reductions and low-carbon investments, and Decision (EU) 2015/1814")</f>
        <v>DIRECTIVE (EU) 2018/410 OF THE EUROPEAN PARLIAMENT AND OF THE COUNCIL of 14 March 2018 amending Directive 2003/87/EC to enhance cost-effective emission reductions and low-carbon investments, and Decision (EU) 2015/1814</v>
      </c>
      <c r="D81" s="1" t="s">
        <v>4565</v>
      </c>
      <c r="E81" s="1" t="s">
        <v>4566</v>
      </c>
      <c r="F81" s="1" t="s">
        <v>4583</v>
      </c>
      <c r="G81" s="1"/>
      <c r="H81" s="1">
        <v>2018.0</v>
      </c>
      <c r="I81" s="1" t="s">
        <v>24</v>
      </c>
      <c r="J81" s="4" t="s">
        <v>4590</v>
      </c>
      <c r="K81" s="4" t="s">
        <v>4591</v>
      </c>
      <c r="L81" s="1" t="s">
        <v>4312</v>
      </c>
      <c r="N81" s="1" t="s">
        <v>326</v>
      </c>
    </row>
    <row r="82" hidden="1">
      <c r="A82" s="1">
        <v>8566.0</v>
      </c>
      <c r="B82" s="1" t="s">
        <v>4592</v>
      </c>
      <c r="C82" s="1" t="str">
        <f>IFERROR(__xludf.DUMMYFUNCTION("GOOGLETRANSLATE(B82)"),"Regulation (EC) No 1222/2009 of the European Parliament and of the Council of 25 November 2009 on the labelling of tyres with respect to fuel efficiency and other essential parameters")</f>
        <v>Regulation (EC) No 1222/2009 of the European Parliament and of the Council of 25 November 2009 on the labelling of tyres with respect to fuel efficiency and other essential parameters</v>
      </c>
      <c r="D82" s="1" t="s">
        <v>4565</v>
      </c>
      <c r="E82" s="1" t="s">
        <v>4566</v>
      </c>
      <c r="F82" s="1" t="s">
        <v>4579</v>
      </c>
      <c r="G82" s="1"/>
      <c r="H82" s="1">
        <v>2009.0</v>
      </c>
      <c r="I82" s="1" t="s">
        <v>24</v>
      </c>
      <c r="J82" s="4" t="s">
        <v>4593</v>
      </c>
      <c r="K82" s="4" t="s">
        <v>4594</v>
      </c>
      <c r="L82" s="1" t="s">
        <v>4312</v>
      </c>
      <c r="N82" s="1" t="s">
        <v>326</v>
      </c>
    </row>
    <row r="83" hidden="1">
      <c r="A83" s="1">
        <v>8566.0</v>
      </c>
      <c r="B83" s="1" t="s">
        <v>4595</v>
      </c>
      <c r="C83" s="1" t="str">
        <f>IFERROR(__xludf.DUMMYFUNCTION("GOOGLETRANSLATE(B83)"),"REGULATION (EC) No 1222/2009 OF THE EUROPEAN PARLIAMENT AND OF THE COUNCIL of 25 November 2009 on the labelling of tyres with respect to fuel efficiency and other essential parameters")</f>
        <v>REGULATION (EC) No 1222/2009 OF THE EUROPEAN PARLIAMENT AND OF THE COUNCIL of 25 November 2009 on the labelling of tyres with respect to fuel efficiency and other essential parameters</v>
      </c>
      <c r="D83" s="1" t="s">
        <v>4565</v>
      </c>
      <c r="E83" s="1" t="s">
        <v>4566</v>
      </c>
      <c r="F83" s="1" t="s">
        <v>4579</v>
      </c>
      <c r="G83" s="1"/>
      <c r="H83" s="1">
        <v>2009.0</v>
      </c>
      <c r="I83" s="1" t="s">
        <v>24</v>
      </c>
      <c r="J83" s="1" t="s">
        <v>4596</v>
      </c>
      <c r="K83" s="4" t="s">
        <v>4597</v>
      </c>
      <c r="L83" s="1" t="s">
        <v>4312</v>
      </c>
      <c r="N83" s="1" t="s">
        <v>23</v>
      </c>
    </row>
    <row r="84" hidden="1">
      <c r="A84" s="1">
        <v>8568.0</v>
      </c>
      <c r="B84" s="1" t="s">
        <v>4598</v>
      </c>
      <c r="C84" s="1" t="str">
        <f>IFERROR(__xludf.DUMMYFUNCTION("GOOGLETRANSLATE(B84)"),"Commission Decision of 12 March 2009 establishing the revised ecological criteria for the award of the Community Eco-label to televisions")</f>
        <v>Commission Decision of 12 March 2009 establishing the revised ecological criteria for the award of the Community Eco-label to televisions</v>
      </c>
      <c r="D84" s="1" t="s">
        <v>4565</v>
      </c>
      <c r="E84" s="1" t="s">
        <v>4566</v>
      </c>
      <c r="F84" s="1" t="s">
        <v>247</v>
      </c>
      <c r="G84" s="1"/>
      <c r="H84" s="1">
        <v>2018.0</v>
      </c>
      <c r="I84" s="1" t="s">
        <v>24</v>
      </c>
      <c r="J84" s="4" t="s">
        <v>4599</v>
      </c>
      <c r="K84" s="4" t="s">
        <v>4600</v>
      </c>
      <c r="L84" s="1" t="s">
        <v>4312</v>
      </c>
      <c r="N84" s="1" t="s">
        <v>326</v>
      </c>
    </row>
    <row r="85" hidden="1">
      <c r="A85" s="1">
        <v>8568.0</v>
      </c>
      <c r="B85" s="1" t="s">
        <v>4601</v>
      </c>
      <c r="C85" s="1" t="str">
        <f>IFERROR(__xludf.DUMMYFUNCTION("GOOGLETRANSLATE(B85)"),"Commission Decision (EU) 2018/59 of 11 January 2018 amending Decision 2009/300/EC as regards the content, and period of validity, of the ecological criteria for the award of the EU Eco-label to televisions")</f>
        <v>Commission Decision (EU) 2018/59 of 11 January 2018 amending Decision 2009/300/EC as regards the content, and period of validity, of the ecological criteria for the award of the EU Eco-label to televisions</v>
      </c>
      <c r="D85" s="1" t="s">
        <v>4565</v>
      </c>
      <c r="E85" s="1" t="s">
        <v>4566</v>
      </c>
      <c r="F85" s="1" t="s">
        <v>247</v>
      </c>
      <c r="G85" s="1"/>
      <c r="H85" s="1">
        <v>2018.0</v>
      </c>
      <c r="I85" s="1" t="s">
        <v>24</v>
      </c>
      <c r="J85" s="4" t="s">
        <v>4602</v>
      </c>
      <c r="K85" s="4" t="s">
        <v>4603</v>
      </c>
      <c r="L85" s="1" t="s">
        <v>4312</v>
      </c>
      <c r="N85" s="1" t="s">
        <v>326</v>
      </c>
    </row>
    <row r="86" hidden="1">
      <c r="A86" s="1">
        <v>8568.0</v>
      </c>
      <c r="B86" s="1" t="s">
        <v>4604</v>
      </c>
      <c r="C86" s="1" t="str">
        <f>IFERROR(__xludf.DUMMYFUNCTION("GOOGLETRANSLATE(B86)"),"COMMISSION DECISION (EU) 2018/59 of 11 January 2018 amending Decision 2009/300/EC as regards the content, and period of validity, of the ecological criteria for the award of the EU Eco-label to televisions")</f>
        <v>COMMISSION DECISION (EU) 2018/59 of 11 January 2018 amending Decision 2009/300/EC as regards the content, and period of validity, of the ecological criteria for the award of the EU Eco-label to televisions</v>
      </c>
      <c r="D86" s="1" t="s">
        <v>4565</v>
      </c>
      <c r="E86" s="1" t="s">
        <v>4566</v>
      </c>
      <c r="F86" s="1" t="s">
        <v>247</v>
      </c>
      <c r="G86" s="1"/>
      <c r="H86" s="1">
        <v>2018.0</v>
      </c>
      <c r="I86" s="1" t="s">
        <v>24</v>
      </c>
      <c r="J86" s="1" t="s">
        <v>4605</v>
      </c>
      <c r="K86" s="4" t="s">
        <v>4606</v>
      </c>
      <c r="L86" s="1" t="s">
        <v>4312</v>
      </c>
      <c r="N86" s="1" t="s">
        <v>23</v>
      </c>
    </row>
    <row r="87" hidden="1">
      <c r="A87" s="1">
        <v>8569.0</v>
      </c>
      <c r="B87" s="1" t="s">
        <v>4607</v>
      </c>
      <c r="C87" s="1" t="str">
        <f>IFERROR(__xludf.DUMMYFUNCTION("GOOGLETRANSLATE(B87)"),"Regulation (EC) No 106/2008 of the European Parliament and of the Council of 15 January 2008 on a Community energy-efficiency labelling programme for office equipment (recast version)")</f>
        <v>Regulation (EC) No 106/2008 of the European Parliament and of the Council of 15 January 2008 on a Community energy-efficiency labelling programme for office equipment (recast version)</v>
      </c>
      <c r="D87" s="1" t="s">
        <v>4565</v>
      </c>
      <c r="E87" s="1" t="s">
        <v>4566</v>
      </c>
      <c r="F87" s="1" t="s">
        <v>4579</v>
      </c>
      <c r="G87" s="1"/>
      <c r="H87" s="1">
        <v>2008.0</v>
      </c>
      <c r="I87" s="1" t="s">
        <v>24</v>
      </c>
      <c r="J87" s="4" t="s">
        <v>4608</v>
      </c>
      <c r="K87" s="4" t="s">
        <v>4609</v>
      </c>
      <c r="L87" s="1" t="s">
        <v>4312</v>
      </c>
      <c r="N87" s="1" t="s">
        <v>326</v>
      </c>
    </row>
    <row r="88" hidden="1">
      <c r="A88" s="1">
        <v>8569.0</v>
      </c>
      <c r="B88" s="1" t="s">
        <v>4610</v>
      </c>
      <c r="C88" s="1" t="str">
        <f>IFERROR(__xludf.DUMMYFUNCTION("GOOGLETRANSLATE(B88)"),"REGULATION (EC) No 106/2008 OF THE EUROPEAN PARLIAMENT AND OF THE COUNCIL of 15 January 2008 on a Community energy-efficiency labelling programme for office equipment")</f>
        <v>REGULATION (EC) No 106/2008 OF THE EUROPEAN PARLIAMENT AND OF THE COUNCIL of 15 January 2008 on a Community energy-efficiency labelling programme for office equipment</v>
      </c>
      <c r="D88" s="1" t="s">
        <v>4565</v>
      </c>
      <c r="E88" s="1" t="s">
        <v>4566</v>
      </c>
      <c r="F88" s="1" t="s">
        <v>4579</v>
      </c>
      <c r="G88" s="1"/>
      <c r="H88" s="1">
        <v>2008.0</v>
      </c>
      <c r="I88" s="1" t="s">
        <v>24</v>
      </c>
      <c r="J88" s="1" t="s">
        <v>4611</v>
      </c>
      <c r="K88" s="4" t="s">
        <v>4612</v>
      </c>
      <c r="L88" s="1" t="s">
        <v>4312</v>
      </c>
      <c r="N88" s="1" t="s">
        <v>23</v>
      </c>
    </row>
    <row r="89" hidden="1">
      <c r="A89" s="1">
        <v>8570.0</v>
      </c>
      <c r="B89" s="1" t="s">
        <v>4613</v>
      </c>
      <c r="C89" s="1" t="str">
        <f>IFERROR(__xludf.DUMMYFUNCTION("GOOGLETRANSLATE(B89)"),"Decision No 1386/2013/EU of the European Parliament and of the Council of 20 November 2013 on a General Union Environment Action Programme to 2020 ‘Living well, within the limits of our planet’")</f>
        <v>Decision No 1386/2013/EU of the European Parliament and of the Council of 20 November 2013 on a General Union Environment Action Programme to 2020 ‘Living well, within the limits of our planet’</v>
      </c>
      <c r="D89" s="1" t="s">
        <v>4565</v>
      </c>
      <c r="E89" s="1" t="s">
        <v>4566</v>
      </c>
      <c r="F89" s="1" t="s">
        <v>247</v>
      </c>
      <c r="G89" s="1"/>
      <c r="H89" s="1">
        <v>2013.0</v>
      </c>
      <c r="I89" s="1" t="s">
        <v>24</v>
      </c>
      <c r="J89" s="4" t="s">
        <v>4614</v>
      </c>
      <c r="K89" s="4" t="s">
        <v>4615</v>
      </c>
      <c r="L89" s="1" t="s">
        <v>4312</v>
      </c>
      <c r="N89" s="1" t="s">
        <v>326</v>
      </c>
    </row>
    <row r="90" hidden="1">
      <c r="A90" s="1">
        <v>8570.0</v>
      </c>
      <c r="B90" s="1" t="s">
        <v>4616</v>
      </c>
      <c r="C90" s="1" t="str">
        <f>IFERROR(__xludf.DUMMYFUNCTION("GOOGLETRANSLATE(B90)"),"DECISION No 1386/2013/EU OF THE EUROPEAN PARLIAMENT AND OF THE COUNCIL of 20 November 2013 on a General Union Environment Action Programme to 2020 ‘Living well, within the limits of our planet’")</f>
        <v>DECISION No 1386/2013/EU OF THE EUROPEAN PARLIAMENT AND OF THE COUNCIL of 20 November 2013 on a General Union Environment Action Programme to 2020 ‘Living well, within the limits of our planet’</v>
      </c>
      <c r="D90" s="1" t="s">
        <v>4565</v>
      </c>
      <c r="E90" s="1" t="s">
        <v>4566</v>
      </c>
      <c r="F90" s="1" t="s">
        <v>247</v>
      </c>
      <c r="G90" s="1"/>
      <c r="H90" s="1">
        <v>2013.0</v>
      </c>
      <c r="I90" s="1" t="s">
        <v>24</v>
      </c>
      <c r="J90" s="1" t="s">
        <v>4617</v>
      </c>
      <c r="K90" s="4" t="s">
        <v>4618</v>
      </c>
      <c r="L90" s="1" t="s">
        <v>4312</v>
      </c>
      <c r="N90" s="1" t="s">
        <v>23</v>
      </c>
    </row>
    <row r="91" hidden="1">
      <c r="A91" s="1">
        <v>8571.0</v>
      </c>
      <c r="B91" s="1" t="s">
        <v>4619</v>
      </c>
      <c r="C91" s="1" t="str">
        <f>IFERROR(__xludf.DUMMYFUNCTION("GOOGLETRANSLATE(B91)"),"Regulation (EU) No 1293/2013 of the European Parliament and of the Council of 11 December 2013 on the establishment of a Programme for the Environment and Climate Action (LIFE) and repealing Regulation (EC) No 614/2007")</f>
        <v>Regulation (EU) No 1293/2013 of the European Parliament and of the Council of 11 December 2013 on the establishment of a Programme for the Environment and Climate Action (LIFE) and repealing Regulation (EC) No 614/2007</v>
      </c>
      <c r="D91" s="1" t="s">
        <v>4565</v>
      </c>
      <c r="E91" s="1" t="s">
        <v>4566</v>
      </c>
      <c r="F91" s="1" t="s">
        <v>4579</v>
      </c>
      <c r="G91" s="1"/>
      <c r="H91" s="1">
        <v>2013.0</v>
      </c>
      <c r="I91" s="1" t="s">
        <v>24</v>
      </c>
      <c r="J91" s="4" t="s">
        <v>4620</v>
      </c>
      <c r="K91" s="4" t="s">
        <v>4621</v>
      </c>
      <c r="L91" s="1" t="s">
        <v>4312</v>
      </c>
      <c r="N91" s="1" t="s">
        <v>326</v>
      </c>
    </row>
    <row r="92" hidden="1">
      <c r="A92" s="1">
        <v>8571.0</v>
      </c>
      <c r="B92" s="1" t="s">
        <v>4622</v>
      </c>
      <c r="C92" s="1" t="str">
        <f>IFERROR(__xludf.DUMMYFUNCTION("GOOGLETRANSLATE(B92)"),"REGULATION (EU) No 1293/2013 OF THE EUROPEAN PARLIAMENT AND OF THE COUNCIL of 11 December 2013 on the establishment of a Programme for the Environment and Climate Action (LIFE) and repealing Regulation (EC) No 614/2007")</f>
        <v>REGULATION (EU) No 1293/2013 OF THE EUROPEAN PARLIAMENT AND OF THE COUNCIL of 11 December 2013 on the establishment of a Programme for the Environment and Climate Action (LIFE) and repealing Regulation (EC) No 614/2007</v>
      </c>
      <c r="D92" s="1" t="s">
        <v>4565</v>
      </c>
      <c r="E92" s="1" t="s">
        <v>4566</v>
      </c>
      <c r="F92" s="1" t="s">
        <v>4579</v>
      </c>
      <c r="G92" s="1"/>
      <c r="H92" s="1">
        <v>2013.0</v>
      </c>
      <c r="I92" s="1" t="s">
        <v>24</v>
      </c>
      <c r="J92" s="1" t="s">
        <v>4623</v>
      </c>
      <c r="K92" s="4" t="s">
        <v>4624</v>
      </c>
      <c r="L92" s="1" t="s">
        <v>4312</v>
      </c>
      <c r="N92" s="1" t="s">
        <v>23</v>
      </c>
    </row>
    <row r="93" hidden="1">
      <c r="A93" s="1">
        <v>9369.0</v>
      </c>
      <c r="B93" s="1" t="s">
        <v>4625</v>
      </c>
      <c r="C93" s="1" t="str">
        <f>IFERROR(__xludf.DUMMYFUNCTION("GOOGLETRANSLATE(B93)"),"A European Green Deal")</f>
        <v>A European Green Deal</v>
      </c>
      <c r="D93" s="1" t="s">
        <v>4565</v>
      </c>
      <c r="E93" s="1" t="s">
        <v>4566</v>
      </c>
      <c r="F93" s="9" t="s">
        <v>234</v>
      </c>
      <c r="G93" s="1"/>
      <c r="H93" s="1">
        <v>2021.0</v>
      </c>
      <c r="I93" s="1" t="s">
        <v>24</v>
      </c>
      <c r="J93" s="1" t="s">
        <v>4626</v>
      </c>
      <c r="K93" s="4" t="s">
        <v>4627</v>
      </c>
      <c r="L93" s="1" t="s">
        <v>4312</v>
      </c>
      <c r="N93" s="1" t="s">
        <v>92</v>
      </c>
    </row>
    <row r="94" hidden="1">
      <c r="A94" s="1">
        <v>9369.0</v>
      </c>
      <c r="B94" s="1" t="s">
        <v>4628</v>
      </c>
      <c r="C94" s="1" t="str">
        <f>IFERROR(__xludf.DUMMYFUNCTION("GOOGLETRANSLATE(B94)"),"The European Green Deal")</f>
        <v>The European Green Deal</v>
      </c>
      <c r="D94" s="1" t="s">
        <v>4565</v>
      </c>
      <c r="E94" s="1" t="s">
        <v>4566</v>
      </c>
      <c r="F94" s="9" t="s">
        <v>234</v>
      </c>
      <c r="G94" s="1"/>
      <c r="H94" s="1">
        <v>2019.0</v>
      </c>
      <c r="I94" s="1" t="s">
        <v>24</v>
      </c>
      <c r="J94" s="4" t="s">
        <v>4629</v>
      </c>
      <c r="K94" s="4" t="s">
        <v>4630</v>
      </c>
      <c r="L94" s="1" t="s">
        <v>4312</v>
      </c>
      <c r="N94" s="1" t="s">
        <v>326</v>
      </c>
    </row>
    <row r="95" hidden="1">
      <c r="A95" s="1">
        <v>9519.0</v>
      </c>
      <c r="B95" s="1" t="s">
        <v>4631</v>
      </c>
      <c r="C95" s="1" t="str">
        <f>IFERROR(__xludf.DUMMYFUNCTION("GOOGLETRANSLATE(B95)"),"Regulation (EU) 2020/852 of the European Parliament and of the Council of 18 June 2020 on the establishment of a framework to facilitate sustainable investment, and amending Regulation (EU) 2019/2088")</f>
        <v>Regulation (EU) 2020/852 of the European Parliament and of the Council of 18 June 2020 on the establishment of a framework to facilitate sustainable investment, and amending Regulation (EU) 2019/2088</v>
      </c>
      <c r="D95" s="1" t="s">
        <v>4565</v>
      </c>
      <c r="E95" s="1" t="s">
        <v>4566</v>
      </c>
      <c r="F95" s="1" t="s">
        <v>4579</v>
      </c>
      <c r="G95" s="1"/>
      <c r="H95" s="1">
        <v>2020.0</v>
      </c>
      <c r="I95" s="1" t="s">
        <v>24</v>
      </c>
      <c r="J95" s="4" t="s">
        <v>4632</v>
      </c>
      <c r="K95" s="4" t="s">
        <v>4633</v>
      </c>
      <c r="L95" s="1" t="s">
        <v>4312</v>
      </c>
      <c r="N95" s="1" t="s">
        <v>326</v>
      </c>
    </row>
    <row r="96" hidden="1">
      <c r="A96" s="1">
        <v>9519.0</v>
      </c>
      <c r="B96" s="1" t="s">
        <v>4634</v>
      </c>
      <c r="C96" s="1" t="str">
        <f>IFERROR(__xludf.DUMMYFUNCTION("GOOGLETRANSLATE(B96)"),"Commission Delegated Regulation (EU) 2021/2178 of 6 July 2021 supplementing Regulation (EU) 2020/852 of the European Parliament and of the Council by specifying the content and presentation of information to be disclosed by undertakings subject to Article"&amp;"s 19a or 29a of Directive 2013/34/EU concerning environmentally sustainable economic activities, and specifying the methodology to comply with that disclosure obligation")</f>
        <v>Commission Delegated Regulation (EU) 2021/2178 of 6 July 2021 supplementing Regulation (EU) 2020/852 of the European Parliament and of the Council by specifying the content and presentation of information to be disclosed by undertakings subject to Articles 19a or 29a of Directive 2013/34/EU concerning environmentally sustainable economic activities, and specifying the methodology to comply with that disclosure obligation</v>
      </c>
      <c r="D96" s="1" t="s">
        <v>4565</v>
      </c>
      <c r="E96" s="1" t="s">
        <v>4566</v>
      </c>
      <c r="F96" s="1" t="s">
        <v>4579</v>
      </c>
      <c r="G96" s="1"/>
      <c r="H96" s="1">
        <v>2021.0</v>
      </c>
      <c r="I96" s="1" t="s">
        <v>24</v>
      </c>
      <c r="J96" s="4" t="s">
        <v>4635</v>
      </c>
      <c r="K96" s="4" t="s">
        <v>4636</v>
      </c>
      <c r="L96" s="1" t="s">
        <v>4312</v>
      </c>
      <c r="N96" s="1" t="s">
        <v>326</v>
      </c>
    </row>
    <row r="97" hidden="1">
      <c r="A97" s="1">
        <v>9519.0</v>
      </c>
      <c r="B97" s="1" t="s">
        <v>4637</v>
      </c>
      <c r="C97" s="1" t="str">
        <f>IFERROR(__xludf.DUMMYFUNCTION("GOOGLETRANSLATE(B97)"),"Commission Delegated Regulation (EU) 2021/2139 of 4 June 2021 supplementing Regulation (EU) 2020/852 of the European Parliament and of the Council by establishing the technical screening criteria for determining the conditions under which an economic acti"&amp;"vity qualifies as contributing substantially to climate change mitigation or climate change adaptation and for determining whether that economic activity causes no significant harm to any of the other environmental objectives")</f>
        <v>Commission Delegated Regulation (EU) 2021/2139 of 4 June 2021 supplementing Regulation (EU) 2020/852 of the European Parliament and of the Council by establishing the technical screening criteria for determining the conditions under which an economic activity qualifies as contributing substantially to climate change mitigation or climate change adaptation and for determining whether that economic activity causes no significant harm to any of the other environmental objectives</v>
      </c>
      <c r="D97" s="1" t="s">
        <v>4565</v>
      </c>
      <c r="E97" s="1" t="s">
        <v>4566</v>
      </c>
      <c r="F97" s="1" t="s">
        <v>4579</v>
      </c>
      <c r="G97" s="1"/>
      <c r="H97" s="1">
        <v>2021.0</v>
      </c>
      <c r="I97" s="1" t="s">
        <v>24</v>
      </c>
      <c r="J97" s="4" t="s">
        <v>4638</v>
      </c>
      <c r="K97" s="4" t="s">
        <v>4639</v>
      </c>
      <c r="L97" s="1" t="s">
        <v>4312</v>
      </c>
      <c r="N97" s="1" t="s">
        <v>326</v>
      </c>
    </row>
    <row r="98" hidden="1">
      <c r="A98" s="1">
        <v>9519.0</v>
      </c>
      <c r="B98" s="1" t="s">
        <v>4640</v>
      </c>
      <c r="C98" s="1" t="str">
        <f>IFERROR(__xludf.DUMMYFUNCTION("GOOGLETRANSLATE(B98)"),"COMMISSION DELEGATED REGULATION (EU) amending Delegated Regulation (EU) 2021/2139 as regards economic activities in certain energy sectors and Delegated Regulation (EU) 2021/2178 as regards specific public disclosures for those economic activities")</f>
        <v>COMMISSION DELEGATED REGULATION (EU) amending Delegated Regulation (EU) 2021/2139 as regards economic activities in certain energy sectors and Delegated Regulation (EU) 2021/2178 as regards specific public disclosures for those economic activities</v>
      </c>
      <c r="D98" s="1" t="s">
        <v>4565</v>
      </c>
      <c r="E98" s="1" t="s">
        <v>4566</v>
      </c>
      <c r="F98" s="1" t="s">
        <v>4579</v>
      </c>
      <c r="G98" s="1"/>
      <c r="H98" s="1">
        <v>2022.0</v>
      </c>
      <c r="I98" s="1" t="s">
        <v>24</v>
      </c>
      <c r="J98" s="1" t="s">
        <v>4641</v>
      </c>
      <c r="K98" s="4" t="s">
        <v>4642</v>
      </c>
      <c r="L98" s="1" t="s">
        <v>4312</v>
      </c>
      <c r="N98" s="1" t="s">
        <v>23</v>
      </c>
    </row>
    <row r="99" hidden="1">
      <c r="A99" s="1">
        <v>9520.0</v>
      </c>
      <c r="B99" s="1" t="s">
        <v>4643</v>
      </c>
      <c r="C99" s="1" t="str">
        <f>IFERROR(__xludf.DUMMYFUNCTION("GOOGLETRANSLATE(B99)"),"Regulation (EU) 2019/2088 of the European Parliament and of the Council of 27 November 2019 on sustainability‐related disclosures in the financial services sector")</f>
        <v>Regulation (EU) 2019/2088 of the European Parliament and of the Council of 27 November 2019 on sustainability‐related disclosures in the financial services sector</v>
      </c>
      <c r="D99" s="1" t="s">
        <v>4565</v>
      </c>
      <c r="E99" s="1" t="s">
        <v>4566</v>
      </c>
      <c r="F99" s="1" t="s">
        <v>4579</v>
      </c>
      <c r="G99" s="1"/>
      <c r="H99" s="1">
        <v>2019.0</v>
      </c>
      <c r="I99" s="1" t="s">
        <v>24</v>
      </c>
      <c r="J99" s="1" t="s">
        <v>4644</v>
      </c>
      <c r="K99" s="4" t="s">
        <v>4645</v>
      </c>
      <c r="L99" s="1" t="s">
        <v>4312</v>
      </c>
      <c r="N99" s="1" t="s">
        <v>326</v>
      </c>
    </row>
    <row r="100" hidden="1">
      <c r="A100" s="1">
        <v>9520.0</v>
      </c>
      <c r="B100" s="1" t="s">
        <v>4631</v>
      </c>
      <c r="C100" s="1" t="str">
        <f>IFERROR(__xludf.DUMMYFUNCTION("GOOGLETRANSLATE(B100)"),"Regulation (EU) 2020/852 of the European Parliament and of the Council of 18 June 2020 on the establishment of a framework to facilitate sustainable investment, and amending Regulation (EU) 2019/2088")</f>
        <v>Regulation (EU) 2020/852 of the European Parliament and of the Council of 18 June 2020 on the establishment of a framework to facilitate sustainable investment, and amending Regulation (EU) 2019/2088</v>
      </c>
      <c r="D100" s="1" t="s">
        <v>4565</v>
      </c>
      <c r="E100" s="1" t="s">
        <v>4566</v>
      </c>
      <c r="F100" s="1" t="s">
        <v>4579</v>
      </c>
      <c r="G100" s="1"/>
      <c r="H100" s="1">
        <v>2020.0</v>
      </c>
      <c r="I100" s="1" t="s">
        <v>24</v>
      </c>
      <c r="J100" s="4" t="s">
        <v>4646</v>
      </c>
      <c r="K100" s="4" t="s">
        <v>4647</v>
      </c>
      <c r="L100" s="1" t="s">
        <v>4312</v>
      </c>
      <c r="N100" s="1" t="s">
        <v>326</v>
      </c>
    </row>
    <row r="101" hidden="1">
      <c r="A101" s="1">
        <v>9635.0</v>
      </c>
      <c r="B101" s="1" t="s">
        <v>4648</v>
      </c>
      <c r="C101" s="1" t="str">
        <f>IFERROR(__xludf.DUMMYFUNCTION("GOOGLETRANSLATE(B101)"),"The EU budget powering the recovery plan for Europe")</f>
        <v>The EU budget powering the recovery plan for Europe</v>
      </c>
      <c r="D101" s="1" t="s">
        <v>4565</v>
      </c>
      <c r="E101" s="1" t="s">
        <v>4566</v>
      </c>
      <c r="F101" s="9" t="s">
        <v>234</v>
      </c>
      <c r="G101" s="1"/>
      <c r="H101" s="1">
        <v>2020.0</v>
      </c>
      <c r="I101" s="1" t="s">
        <v>24</v>
      </c>
      <c r="J101" s="4" t="s">
        <v>4649</v>
      </c>
      <c r="K101" s="4" t="s">
        <v>4650</v>
      </c>
      <c r="L101" s="1" t="s">
        <v>4312</v>
      </c>
      <c r="N101" s="1" t="s">
        <v>326</v>
      </c>
    </row>
    <row r="102" hidden="1">
      <c r="A102" s="1">
        <v>9635.0</v>
      </c>
      <c r="B102" s="1" t="s">
        <v>4651</v>
      </c>
      <c r="C102" s="1" t="str">
        <f>IFERROR(__xludf.DUMMYFUNCTION("GOOGLETRANSLATE(B102)"),"Special meeting of the European Council (17, 18, 19, 20 and 21 July 2020) – Conclusions")</f>
        <v>Special meeting of the European Council (17, 18, 19, 20 and 21 July 2020) – Conclusions</v>
      </c>
      <c r="D102" s="1" t="s">
        <v>4565</v>
      </c>
      <c r="E102" s="1" t="s">
        <v>4566</v>
      </c>
      <c r="F102" s="9" t="s">
        <v>1532</v>
      </c>
      <c r="G102" s="1"/>
      <c r="H102" s="1">
        <v>2020.0</v>
      </c>
      <c r="I102" s="1" t="s">
        <v>24</v>
      </c>
      <c r="J102" s="1" t="s">
        <v>4652</v>
      </c>
      <c r="K102" s="4" t="s">
        <v>4653</v>
      </c>
      <c r="L102" s="1" t="s">
        <v>4312</v>
      </c>
      <c r="N102" s="1" t="s">
        <v>23</v>
      </c>
    </row>
    <row r="103" hidden="1">
      <c r="A103" s="1">
        <v>9635.0</v>
      </c>
      <c r="B103" s="1" t="s">
        <v>4654</v>
      </c>
      <c r="C103" s="1" t="str">
        <f>IFERROR(__xludf.DUMMYFUNCTION("GOOGLETRANSLATE(B103)"),"A recovery plan for Europe")</f>
        <v>A recovery plan for Europe</v>
      </c>
      <c r="D103" s="1" t="s">
        <v>4565</v>
      </c>
      <c r="E103" s="1" t="s">
        <v>4566</v>
      </c>
      <c r="F103" s="1" t="s">
        <v>234</v>
      </c>
      <c r="G103" s="1"/>
      <c r="H103" s="1">
        <v>2021.0</v>
      </c>
      <c r="I103" s="1" t="s">
        <v>24</v>
      </c>
      <c r="J103" s="1" t="s">
        <v>4655</v>
      </c>
      <c r="K103" s="4" t="s">
        <v>4656</v>
      </c>
      <c r="L103" s="1" t="s">
        <v>4312</v>
      </c>
      <c r="N103" s="1" t="s">
        <v>92</v>
      </c>
    </row>
    <row r="104" hidden="1">
      <c r="A104" s="1">
        <v>9635.0</v>
      </c>
      <c r="B104" s="1" t="s">
        <v>4657</v>
      </c>
      <c r="C104" s="1" t="str">
        <f>IFERROR(__xludf.DUMMYFUNCTION("GOOGLETRANSLATE(B104)"),"Regulation (EU) 2021/241 of the European Parliament and of the Council of 12 February 2021 establishing the Recovery and Resilience Facility")</f>
        <v>Regulation (EU) 2021/241 of the European Parliament and of the Council of 12 February 2021 establishing the Recovery and Resilience Facility</v>
      </c>
      <c r="D104" s="1" t="s">
        <v>4565</v>
      </c>
      <c r="E104" s="1" t="s">
        <v>4566</v>
      </c>
      <c r="F104" s="1" t="s">
        <v>4579</v>
      </c>
      <c r="G104" s="1"/>
      <c r="H104" s="1">
        <v>2021.0</v>
      </c>
      <c r="I104" s="1" t="s">
        <v>24</v>
      </c>
      <c r="J104" s="4" t="s">
        <v>4658</v>
      </c>
      <c r="K104" s="4" t="s">
        <v>4659</v>
      </c>
      <c r="L104" s="1" t="s">
        <v>4312</v>
      </c>
      <c r="N104" s="1" t="s">
        <v>326</v>
      </c>
    </row>
    <row r="105" hidden="1">
      <c r="A105" s="1">
        <v>9693.0</v>
      </c>
      <c r="B105" s="1" t="s">
        <v>4660</v>
      </c>
      <c r="C105" s="1" t="str">
        <f>IFERROR(__xludf.DUMMYFUNCTION("GOOGLETRANSLATE(B105)"),"A European Strategy for Low-Emission Mobility")</f>
        <v>A European Strategy for Low-Emission Mobility</v>
      </c>
      <c r="D105" s="1" t="s">
        <v>4565</v>
      </c>
      <c r="E105" s="1" t="s">
        <v>4566</v>
      </c>
      <c r="F105" s="1" t="s">
        <v>144</v>
      </c>
      <c r="G105" s="1"/>
      <c r="H105" s="1">
        <v>2016.0</v>
      </c>
      <c r="I105" s="1" t="s">
        <v>24</v>
      </c>
      <c r="J105" s="1" t="s">
        <v>4661</v>
      </c>
      <c r="K105" s="4" t="s">
        <v>4662</v>
      </c>
      <c r="L105" s="1" t="s">
        <v>4312</v>
      </c>
      <c r="N105" s="1" t="s">
        <v>23</v>
      </c>
    </row>
    <row r="106" hidden="1">
      <c r="A106" s="9">
        <v>9693.0</v>
      </c>
      <c r="B106" s="9" t="s">
        <v>4663</v>
      </c>
      <c r="C106" s="9" t="str">
        <f>IFERROR(__xludf.DUMMYFUNCTION("GOOGLETRANSLATE(B106)"),"A European Strategy for Low-Emission Mobility: Communication")</f>
        <v>A European Strategy for Low-Emission Mobility: Communication</v>
      </c>
      <c r="D106" s="9" t="s">
        <v>4565</v>
      </c>
      <c r="E106" s="9" t="s">
        <v>4566</v>
      </c>
      <c r="F106" s="9" t="s">
        <v>144</v>
      </c>
      <c r="G106" s="9"/>
      <c r="H106" s="9">
        <v>2016.0</v>
      </c>
      <c r="I106" s="9" t="s">
        <v>24</v>
      </c>
      <c r="J106" s="24" t="s">
        <v>4664</v>
      </c>
      <c r="K106" s="24" t="s">
        <v>4665</v>
      </c>
      <c r="L106" s="9" t="s">
        <v>4312</v>
      </c>
      <c r="M106" s="3"/>
      <c r="N106" s="9" t="s">
        <v>326</v>
      </c>
      <c r="O106" s="9"/>
      <c r="P106" s="3"/>
      <c r="Q106" s="3"/>
      <c r="R106" s="3"/>
      <c r="S106" s="3"/>
      <c r="T106" s="3"/>
      <c r="U106" s="3"/>
      <c r="V106" s="3"/>
      <c r="W106" s="3"/>
      <c r="X106" s="3"/>
      <c r="Y106" s="3"/>
      <c r="Z106" s="3"/>
      <c r="AA106" s="3"/>
      <c r="AB106" s="3"/>
    </row>
    <row r="107" hidden="1">
      <c r="A107" s="1">
        <v>9694.0</v>
      </c>
      <c r="B107" s="1" t="s">
        <v>4666</v>
      </c>
      <c r="C107" s="1" t="str">
        <f>IFERROR(__xludf.DUMMYFUNCTION("GOOGLETRANSLATE(B107)"),"Directive (EU) 2018/2001 of the European Parliament and of the Council of 11 December 2018 on the promotion of the use of energy from renewable sources")</f>
        <v>Directive (EU) 2018/2001 of the European Parliament and of the Council of 11 December 2018 on the promotion of the use of energy from renewable sources</v>
      </c>
      <c r="D107" s="1" t="s">
        <v>4565</v>
      </c>
      <c r="E107" s="1" t="s">
        <v>4566</v>
      </c>
      <c r="F107" s="1" t="s">
        <v>4583</v>
      </c>
      <c r="G107" s="1"/>
      <c r="H107" s="1">
        <v>2018.0</v>
      </c>
      <c r="I107" s="1" t="s">
        <v>24</v>
      </c>
      <c r="J107" s="4" t="s">
        <v>4667</v>
      </c>
      <c r="K107" s="4" t="s">
        <v>4668</v>
      </c>
      <c r="L107" s="1" t="s">
        <v>4312</v>
      </c>
      <c r="N107" s="1" t="s">
        <v>326</v>
      </c>
    </row>
    <row r="108" hidden="1">
      <c r="A108" s="1">
        <v>9694.0</v>
      </c>
      <c r="B108" s="1" t="s">
        <v>4669</v>
      </c>
      <c r="C108" s="1" t="str">
        <f>IFERROR(__xludf.DUMMYFUNCTION("GOOGLETRANSLATE(B108)"),"Commission Delegated Regulation (EU) 2019/807 of 13 March 2019 supplementing Directive (EU) 2018/2001 of the European Parliament and of the Council as regards the determination of high indirect land-use change-risk feedstock for which a significant expans"&amp;"ion of the production area into land with high carbon stock is observed and the certification of low indirect land-use change-risk biofuels, bioliquids and biomass fuels")</f>
        <v>Commission Delegated Regulation (EU) 2019/807 of 13 March 2019 supplementing Directive (EU) 2018/2001 of the European Parliament and of the Council as regards the determination of high indirect land-use change-risk feedstock for which a significant expansion of the production area into land with high carbon stock is observed and the certification of low indirect land-use change-risk biofuels, bioliquids and biomass fuels</v>
      </c>
      <c r="D108" s="1" t="s">
        <v>4565</v>
      </c>
      <c r="E108" s="1" t="s">
        <v>4566</v>
      </c>
      <c r="F108" s="1" t="s">
        <v>4579</v>
      </c>
      <c r="G108" s="1"/>
      <c r="H108" s="1">
        <v>2019.0</v>
      </c>
      <c r="I108" s="1" t="s">
        <v>24</v>
      </c>
      <c r="J108" s="4" t="s">
        <v>4670</v>
      </c>
      <c r="K108" s="4" t="s">
        <v>4671</v>
      </c>
      <c r="L108" s="1" t="s">
        <v>4312</v>
      </c>
      <c r="M108" s="1" t="s">
        <v>4672</v>
      </c>
      <c r="N108" s="1" t="s">
        <v>326</v>
      </c>
    </row>
    <row r="109" hidden="1">
      <c r="A109" s="1">
        <v>9987.0</v>
      </c>
      <c r="B109" s="1" t="s">
        <v>4673</v>
      </c>
      <c r="C109" s="1" t="str">
        <f>IFERROR(__xludf.DUMMYFUNCTION("GOOGLETRANSLATE(B109)"),"Action Plan: Financing Sustainable Growth")</f>
        <v>Action Plan: Financing Sustainable Growth</v>
      </c>
      <c r="D109" s="1" t="s">
        <v>4565</v>
      </c>
      <c r="E109" s="1" t="s">
        <v>4566</v>
      </c>
      <c r="F109" s="1" t="s">
        <v>368</v>
      </c>
      <c r="G109" s="1"/>
      <c r="H109" s="1">
        <v>2018.0</v>
      </c>
      <c r="I109" s="1" t="s">
        <v>24</v>
      </c>
      <c r="J109" s="4" t="s">
        <v>4674</v>
      </c>
      <c r="K109" s="4" t="s">
        <v>4675</v>
      </c>
      <c r="L109" s="1" t="s">
        <v>4312</v>
      </c>
      <c r="M109" s="1" t="s">
        <v>4672</v>
      </c>
      <c r="N109" s="1" t="s">
        <v>326</v>
      </c>
    </row>
    <row r="110" hidden="1">
      <c r="A110" s="1">
        <v>9987.0</v>
      </c>
      <c r="B110" s="1" t="s">
        <v>4676</v>
      </c>
      <c r="C110" s="1" t="str">
        <f>IFERROR(__xludf.DUMMYFUNCTION("GOOGLETRANSLATE(B110)"),"Renewed sustainable finance strategy and implementation of the action plan on financing sustainable growth")</f>
        <v>Renewed sustainable finance strategy and implementation of the action plan on financing sustainable growth</v>
      </c>
      <c r="D110" s="1" t="s">
        <v>4565</v>
      </c>
      <c r="E110" s="1" t="s">
        <v>4566</v>
      </c>
      <c r="F110" s="1" t="s">
        <v>144</v>
      </c>
      <c r="G110" s="1"/>
      <c r="H110" s="1">
        <v>2018.0</v>
      </c>
      <c r="I110" s="1" t="s">
        <v>24</v>
      </c>
      <c r="J110" s="1" t="s">
        <v>4677</v>
      </c>
      <c r="K110" s="4" t="s">
        <v>4678</v>
      </c>
      <c r="L110" s="1" t="s">
        <v>4312</v>
      </c>
      <c r="N110" s="1" t="s">
        <v>92</v>
      </c>
    </row>
    <row r="111" hidden="1">
      <c r="A111" s="1">
        <v>10389.0</v>
      </c>
      <c r="B111" s="1" t="s">
        <v>4679</v>
      </c>
      <c r="C111" s="1" t="str">
        <f>IFERROR(__xludf.DUMMYFUNCTION("GOOGLETRANSLATE(B111)"),"Global Gateway - website")</f>
        <v>Global Gateway - website</v>
      </c>
      <c r="D111" s="1" t="s">
        <v>4565</v>
      </c>
      <c r="E111" s="1" t="s">
        <v>4566</v>
      </c>
      <c r="F111" s="1" t="s">
        <v>234</v>
      </c>
      <c r="G111" s="1"/>
      <c r="H111" s="1">
        <v>2021.0</v>
      </c>
      <c r="I111" s="1" t="s">
        <v>24</v>
      </c>
      <c r="J111" s="1" t="s">
        <v>4680</v>
      </c>
      <c r="K111" s="4" t="s">
        <v>4681</v>
      </c>
      <c r="L111" s="1" t="s">
        <v>4312</v>
      </c>
      <c r="N111" s="1" t="s">
        <v>92</v>
      </c>
    </row>
    <row r="112" hidden="1">
      <c r="A112" s="1">
        <v>10389.0</v>
      </c>
      <c r="B112" s="201" t="s">
        <v>4682</v>
      </c>
      <c r="C112" s="1" t="str">
        <f>IFERROR(__xludf.DUMMYFUNCTION("GOOGLETRANSLATE(B112)"),"The Global Gateway")</f>
        <v>The Global Gateway</v>
      </c>
      <c r="D112" s="1" t="s">
        <v>4565</v>
      </c>
      <c r="E112" s="1" t="s">
        <v>4566</v>
      </c>
      <c r="F112" s="1" t="s">
        <v>234</v>
      </c>
      <c r="G112" s="1"/>
      <c r="H112" s="1">
        <v>2021.0</v>
      </c>
      <c r="I112" s="1" t="s">
        <v>24</v>
      </c>
      <c r="J112" s="1" t="s">
        <v>4683</v>
      </c>
      <c r="K112" s="4" t="s">
        <v>4684</v>
      </c>
      <c r="L112" s="1" t="s">
        <v>4312</v>
      </c>
      <c r="N112" s="1" t="s">
        <v>23</v>
      </c>
    </row>
    <row r="113" hidden="1">
      <c r="A113" s="1">
        <v>1220.0</v>
      </c>
      <c r="B113" s="1" t="s">
        <v>4685</v>
      </c>
      <c r="C113" s="1" t="str">
        <f>IFERROR(__xludf.DUMMYFUNCTION("GOOGLETRANSLATE(B113)"),"Climate Change Act")</f>
        <v>Climate Change Act</v>
      </c>
      <c r="D113" s="1" t="s">
        <v>4686</v>
      </c>
      <c r="E113" s="1" t="s">
        <v>4687</v>
      </c>
      <c r="F113" s="1" t="s">
        <v>45</v>
      </c>
      <c r="G113" s="1"/>
      <c r="H113" s="1">
        <v>2015.0</v>
      </c>
      <c r="I113" s="1" t="s">
        <v>24</v>
      </c>
      <c r="J113" s="1" t="s">
        <v>4688</v>
      </c>
      <c r="K113" s="4" t="s">
        <v>4689</v>
      </c>
      <c r="L113" s="1" t="s">
        <v>4312</v>
      </c>
      <c r="N113" s="1" t="s">
        <v>23</v>
      </c>
    </row>
    <row r="114">
      <c r="A114" s="9">
        <v>1220.0</v>
      </c>
      <c r="B114" s="3"/>
      <c r="C114" s="9" t="str">
        <f>IFERROR(__xludf.DUMMYFUNCTION("GOOGLETRANSLATE(B114)"),"#VALUE!")</f>
        <v>#VALUE!</v>
      </c>
      <c r="D114" s="9" t="s">
        <v>4686</v>
      </c>
      <c r="E114" s="9" t="s">
        <v>4687</v>
      </c>
      <c r="F114" s="3"/>
      <c r="G114" s="3"/>
      <c r="H114" s="3"/>
      <c r="I114" s="3"/>
      <c r="J114" s="9" t="s">
        <v>4690</v>
      </c>
      <c r="K114" s="24" t="s">
        <v>4691</v>
      </c>
      <c r="L114" s="9" t="s">
        <v>4312</v>
      </c>
      <c r="M114" s="3"/>
      <c r="N114" s="9" t="s">
        <v>229</v>
      </c>
      <c r="O114" s="9" t="s">
        <v>4692</v>
      </c>
      <c r="P114" s="3"/>
      <c r="Q114" s="3"/>
      <c r="R114" s="3"/>
      <c r="S114" s="3"/>
      <c r="T114" s="3"/>
      <c r="U114" s="3"/>
      <c r="V114" s="3"/>
      <c r="W114" s="3"/>
      <c r="X114" s="3"/>
      <c r="Y114" s="3"/>
      <c r="Z114" s="3"/>
      <c r="AA114" s="3"/>
      <c r="AB114" s="3"/>
    </row>
    <row r="115" hidden="1">
      <c r="A115" s="1">
        <v>1223.0</v>
      </c>
      <c r="B115" s="1" t="s">
        <v>4693</v>
      </c>
      <c r="C115" s="1" t="str">
        <f>IFERROR(__xludf.DUMMYFUNCTION("GOOGLETRANSLATE(B115)"),"Law on Air Traffic Trading")</f>
        <v>Law on Air Traffic Trading</v>
      </c>
      <c r="D115" s="1" t="s">
        <v>4686</v>
      </c>
      <c r="E115" s="1" t="s">
        <v>4687</v>
      </c>
      <c r="F115" s="1" t="s">
        <v>41</v>
      </c>
      <c r="G115" s="1"/>
      <c r="H115" s="1">
        <v>2010.0</v>
      </c>
      <c r="I115" s="1" t="s">
        <v>24</v>
      </c>
      <c r="J115" s="1" t="s">
        <v>4694</v>
      </c>
      <c r="K115" s="4" t="s">
        <v>4695</v>
      </c>
      <c r="L115" s="1" t="s">
        <v>4312</v>
      </c>
      <c r="N115" s="1" t="s">
        <v>23</v>
      </c>
    </row>
    <row r="116" hidden="1">
      <c r="A116" s="1">
        <v>1223.0</v>
      </c>
      <c r="B116" s="1" t="s">
        <v>4696</v>
      </c>
      <c r="C116" s="1" t="str">
        <f>IFERROR(__xludf.DUMMYFUNCTION("GOOGLETRANSLATE(B116)"),"Act on Aviation Emissions Trading (including amendments up to 2015)")</f>
        <v>Act on Aviation Emissions Trading (including amendments up to 2015)</v>
      </c>
      <c r="D116" s="1" t="s">
        <v>4686</v>
      </c>
      <c r="E116" s="1" t="s">
        <v>4687</v>
      </c>
      <c r="F116" s="1" t="s">
        <v>45</v>
      </c>
      <c r="G116" s="1"/>
      <c r="H116" s="1">
        <v>2015.0</v>
      </c>
      <c r="I116" s="1" t="s">
        <v>24</v>
      </c>
      <c r="J116" s="1" t="s">
        <v>4697</v>
      </c>
      <c r="K116" s="4" t="s">
        <v>4698</v>
      </c>
      <c r="L116" s="1" t="s">
        <v>4312</v>
      </c>
      <c r="N116" s="1" t="s">
        <v>23</v>
      </c>
    </row>
    <row r="117" hidden="1">
      <c r="A117" s="1">
        <v>1223.0</v>
      </c>
      <c r="B117" s="1" t="s">
        <v>4696</v>
      </c>
      <c r="C117" s="1" t="str">
        <f>IFERROR(__xludf.DUMMYFUNCTION("GOOGLETRANSLATE(B117)"),"Act on Aviation Emissions Trading (including amendments up to 2015)")</f>
        <v>Act on Aviation Emissions Trading (including amendments up to 2015)</v>
      </c>
      <c r="D117" s="1" t="s">
        <v>4686</v>
      </c>
      <c r="E117" s="1" t="s">
        <v>4687</v>
      </c>
      <c r="F117" s="1" t="s">
        <v>45</v>
      </c>
      <c r="G117" s="1"/>
      <c r="H117" s="1">
        <v>2015.0</v>
      </c>
      <c r="I117" s="1" t="s">
        <v>24</v>
      </c>
      <c r="J117" s="1" t="s">
        <v>4699</v>
      </c>
      <c r="K117" s="4" t="s">
        <v>4700</v>
      </c>
      <c r="L117" s="1" t="s">
        <v>4312</v>
      </c>
      <c r="N117" s="1" t="s">
        <v>23</v>
      </c>
    </row>
    <row r="118" hidden="1">
      <c r="A118" s="1">
        <v>1224.0</v>
      </c>
      <c r="B118" s="1" t="s">
        <v>4701</v>
      </c>
      <c r="C118" s="1" t="s">
        <v>4702</v>
      </c>
      <c r="D118" s="1" t="s">
        <v>4686</v>
      </c>
      <c r="E118" s="1" t="s">
        <v>4687</v>
      </c>
      <c r="F118" s="1" t="s">
        <v>45</v>
      </c>
      <c r="G118" s="1"/>
      <c r="H118" s="1">
        <v>2010.0</v>
      </c>
      <c r="I118" s="1" t="s">
        <v>4703</v>
      </c>
      <c r="J118" s="1" t="s">
        <v>4704</v>
      </c>
      <c r="K118" s="4" t="s">
        <v>4705</v>
      </c>
      <c r="L118" s="1" t="s">
        <v>4312</v>
      </c>
      <c r="N118" s="1" t="s">
        <v>23</v>
      </c>
    </row>
    <row r="119" hidden="1">
      <c r="A119" s="1">
        <v>1224.0</v>
      </c>
      <c r="B119" s="1" t="s">
        <v>4702</v>
      </c>
      <c r="C119" s="1" t="str">
        <f>IFERROR(__xludf.DUMMYFUNCTION("GOOGLETRANSLATE(B119)"),"Flood Risk Management Act")</f>
        <v>Flood Risk Management Act</v>
      </c>
      <c r="D119" s="1" t="s">
        <v>4686</v>
      </c>
      <c r="E119" s="1" t="s">
        <v>4687</v>
      </c>
      <c r="F119" s="1" t="s">
        <v>45</v>
      </c>
      <c r="G119" s="1"/>
      <c r="H119" s="1">
        <v>2010.0</v>
      </c>
      <c r="I119" s="1" t="s">
        <v>24</v>
      </c>
      <c r="J119" s="1" t="s">
        <v>4706</v>
      </c>
      <c r="K119" s="4" t="s">
        <v>4707</v>
      </c>
      <c r="L119" s="1" t="s">
        <v>4312</v>
      </c>
      <c r="N119" s="1" t="s">
        <v>23</v>
      </c>
    </row>
    <row r="120" hidden="1">
      <c r="A120" s="1">
        <v>1226.0</v>
      </c>
      <c r="B120" s="1" t="s">
        <v>4708</v>
      </c>
      <c r="C120" s="1" t="s">
        <v>4709</v>
      </c>
      <c r="D120" s="1" t="s">
        <v>4686</v>
      </c>
      <c r="E120" s="1" t="s">
        <v>4687</v>
      </c>
      <c r="F120" s="1" t="s">
        <v>45</v>
      </c>
      <c r="G120" s="1"/>
      <c r="H120" s="1">
        <v>2003.0</v>
      </c>
      <c r="I120" s="1" t="s">
        <v>4703</v>
      </c>
      <c r="J120" s="1" t="s">
        <v>4710</v>
      </c>
      <c r="K120" s="4" t="s">
        <v>4711</v>
      </c>
      <c r="L120" s="1" t="s">
        <v>4312</v>
      </c>
      <c r="N120" s="1" t="s">
        <v>23</v>
      </c>
    </row>
    <row r="121" hidden="1">
      <c r="A121" s="1">
        <v>1226.0</v>
      </c>
      <c r="B121" s="1" t="s">
        <v>4709</v>
      </c>
      <c r="C121" s="1" t="str">
        <f>IFERROR(__xludf.DUMMYFUNCTION("GOOGLETRANSLATE(B121)"),"Act on Verification and Notification of the Origin of Electricity")</f>
        <v>Act on Verification and Notification of the Origin of Electricity</v>
      </c>
      <c r="D121" s="1" t="s">
        <v>4686</v>
      </c>
      <c r="E121" s="1" t="s">
        <v>4687</v>
      </c>
      <c r="F121" s="1" t="s">
        <v>45</v>
      </c>
      <c r="G121" s="1"/>
      <c r="H121" s="1">
        <v>2003.0</v>
      </c>
      <c r="I121" s="1" t="s">
        <v>24</v>
      </c>
      <c r="J121" s="1" t="s">
        <v>4712</v>
      </c>
      <c r="K121" s="4" t="s">
        <v>4713</v>
      </c>
      <c r="L121" s="1" t="s">
        <v>4312</v>
      </c>
      <c r="N121" s="1" t="s">
        <v>23</v>
      </c>
    </row>
    <row r="122" hidden="1">
      <c r="A122" s="1">
        <v>1227.0</v>
      </c>
      <c r="B122" s="1" t="s">
        <v>4714</v>
      </c>
      <c r="C122" s="1" t="str">
        <f>IFERROR(__xludf.DUMMYFUNCTION("GOOGLETRANSLATE(B122)"),"Land Use and Building Act")</f>
        <v>Land Use and Building Act</v>
      </c>
      <c r="D122" s="1" t="s">
        <v>4686</v>
      </c>
      <c r="E122" s="1" t="s">
        <v>4687</v>
      </c>
      <c r="F122" s="1" t="s">
        <v>45</v>
      </c>
      <c r="G122" s="1"/>
      <c r="H122" s="1">
        <v>1999.0</v>
      </c>
      <c r="I122" s="1" t="s">
        <v>4703</v>
      </c>
      <c r="J122" s="1" t="s">
        <v>4715</v>
      </c>
      <c r="K122" s="4" t="s">
        <v>4716</v>
      </c>
      <c r="L122" s="1" t="s">
        <v>4312</v>
      </c>
      <c r="N122" s="1" t="s">
        <v>23</v>
      </c>
    </row>
    <row r="123" hidden="1">
      <c r="A123" s="1">
        <v>1227.0</v>
      </c>
      <c r="B123" s="1" t="s">
        <v>4717</v>
      </c>
      <c r="C123" s="1" t="str">
        <f>IFERROR(__xludf.DUMMYFUNCTION("GOOGLETRANSLATE(B123)"),"Land Use and Building Act (including 2003 amendment)")</f>
        <v>Land Use and Building Act (including 2003 amendment)</v>
      </c>
      <c r="D123" s="1" t="s">
        <v>4686</v>
      </c>
      <c r="E123" s="1" t="s">
        <v>4687</v>
      </c>
      <c r="F123" s="1" t="s">
        <v>45</v>
      </c>
      <c r="G123" s="1"/>
      <c r="H123" s="1">
        <v>2003.0</v>
      </c>
      <c r="I123" s="1" t="s">
        <v>24</v>
      </c>
      <c r="J123" s="1" t="s">
        <v>4718</v>
      </c>
      <c r="K123" s="4" t="s">
        <v>4719</v>
      </c>
      <c r="L123" s="1" t="s">
        <v>4312</v>
      </c>
      <c r="N123" s="1" t="s">
        <v>23</v>
      </c>
    </row>
    <row r="124" hidden="1">
      <c r="A124" s="1">
        <v>9483.0</v>
      </c>
      <c r="B124" s="1" t="s">
        <v>4720</v>
      </c>
      <c r="C124" s="1" t="str">
        <f>IFERROR(__xludf.DUMMYFUNCTION("GOOGLETRANSLATE(B124)"),"Content of the draft budget")</f>
        <v>Content of the draft budget</v>
      </c>
      <c r="D124" s="1" t="s">
        <v>4686</v>
      </c>
      <c r="E124" s="1" t="s">
        <v>4687</v>
      </c>
      <c r="F124" s="9" t="s">
        <v>1532</v>
      </c>
      <c r="G124" s="3"/>
      <c r="H124" s="3"/>
      <c r="I124" s="1" t="s">
        <v>4703</v>
      </c>
      <c r="J124" s="1" t="s">
        <v>4721</v>
      </c>
      <c r="K124" s="4" t="s">
        <v>4722</v>
      </c>
      <c r="L124" s="1" t="s">
        <v>4312</v>
      </c>
      <c r="N124" s="1" t="s">
        <v>726</v>
      </c>
      <c r="O124" s="1" t="s">
        <v>4723</v>
      </c>
    </row>
    <row r="125" hidden="1">
      <c r="A125" s="1">
        <v>9483.0</v>
      </c>
      <c r="B125" s="1" t="s">
        <v>4724</v>
      </c>
      <c r="C125" s="1" t="str">
        <f>IFERROR(__xludf.DUMMYFUNCTION("GOOGLETRANSLATE(B125)"),"Entries to the meeting minutes, Government’s fourth supplementary budget")</f>
        <v>Entries to the meeting minutes, Government’s fourth supplementary budget</v>
      </c>
      <c r="D125" s="1" t="s">
        <v>4686</v>
      </c>
      <c r="E125" s="1" t="s">
        <v>4687</v>
      </c>
      <c r="F125" s="9" t="s">
        <v>1532</v>
      </c>
      <c r="G125" s="1"/>
      <c r="H125" s="1">
        <v>2020.0</v>
      </c>
      <c r="I125" s="1" t="s">
        <v>24</v>
      </c>
      <c r="J125" s="1" t="s">
        <v>4725</v>
      </c>
      <c r="K125" s="4" t="s">
        <v>4726</v>
      </c>
      <c r="L125" s="1" t="s">
        <v>4312</v>
      </c>
      <c r="N125" s="1" t="s">
        <v>23</v>
      </c>
      <c r="O125" s="1" t="s">
        <v>4723</v>
      </c>
    </row>
    <row r="126" hidden="1">
      <c r="A126" s="1">
        <v>10498.0</v>
      </c>
      <c r="B126" s="1" t="s">
        <v>4727</v>
      </c>
      <c r="C126" s="1" t="str">
        <f>IFERROR(__xludf.DUMMYFUNCTION("GOOGLETRANSLATE(B126)"),"Finland’s recovery and resilience plan")</f>
        <v>Finland’s recovery and resilience plan</v>
      </c>
      <c r="D126" s="1" t="s">
        <v>4686</v>
      </c>
      <c r="E126" s="1" t="s">
        <v>4687</v>
      </c>
      <c r="F126" s="1" t="s">
        <v>234</v>
      </c>
      <c r="G126" s="1"/>
      <c r="H126" s="1">
        <v>2021.0</v>
      </c>
      <c r="I126" s="1" t="s">
        <v>24</v>
      </c>
      <c r="J126" s="1" t="s">
        <v>4728</v>
      </c>
      <c r="K126" s="4" t="s">
        <v>4729</v>
      </c>
      <c r="L126" s="1" t="s">
        <v>4312</v>
      </c>
      <c r="N126" s="1" t="s">
        <v>92</v>
      </c>
    </row>
    <row r="127" hidden="1">
      <c r="A127" s="1">
        <v>10498.0</v>
      </c>
      <c r="B127" s="1" t="s">
        <v>4730</v>
      </c>
      <c r="C127" s="1" t="str">
        <f>IFERROR(__xludf.DUMMYFUNCTION("GOOGLETRANSLATE(B127)"),"Proposal for a Council Implementing Decision on the approval of the assessment of the recovery and resilience plan of Finland and Annex")</f>
        <v>Proposal for a Council Implementing Decision on the approval of the assessment of the recovery and resilience plan of Finland and Annex</v>
      </c>
      <c r="D127" s="1" t="s">
        <v>4686</v>
      </c>
      <c r="E127" s="1" t="s">
        <v>4687</v>
      </c>
      <c r="F127" s="1" t="s">
        <v>247</v>
      </c>
      <c r="G127" s="1"/>
      <c r="H127" s="1">
        <v>2021.0</v>
      </c>
      <c r="I127" s="1" t="s">
        <v>24</v>
      </c>
      <c r="J127" s="1" t="s">
        <v>4731</v>
      </c>
      <c r="K127" s="4" t="s">
        <v>4732</v>
      </c>
      <c r="L127" s="1" t="s">
        <v>4312</v>
      </c>
      <c r="N127" s="1" t="s">
        <v>92</v>
      </c>
    </row>
    <row r="128" hidden="1">
      <c r="A128" s="1">
        <v>10498.0</v>
      </c>
      <c r="B128" s="1" t="s">
        <v>4733</v>
      </c>
      <c r="C128" s="1" t="str">
        <f>IFERROR(__xludf.DUMMYFUNCTION("GOOGLETRANSLATE(B128)"),"Finnish Sustainable Growth Program: Recovery and Recovery Plan")</f>
        <v>Finnish Sustainable Growth Program: Recovery and Recovery Plan</v>
      </c>
      <c r="D128" s="1" t="s">
        <v>4686</v>
      </c>
      <c r="E128" s="1" t="s">
        <v>4687</v>
      </c>
      <c r="F128" s="1" t="s">
        <v>234</v>
      </c>
      <c r="G128" s="1"/>
      <c r="H128" s="1">
        <v>2021.0</v>
      </c>
      <c r="I128" s="1" t="s">
        <v>4703</v>
      </c>
      <c r="J128" s="1" t="s">
        <v>4734</v>
      </c>
      <c r="K128" s="4" t="s">
        <v>4735</v>
      </c>
      <c r="L128" s="1" t="s">
        <v>4312</v>
      </c>
      <c r="N128" s="1" t="s">
        <v>839</v>
      </c>
    </row>
    <row r="129" hidden="1">
      <c r="A129" s="1">
        <v>1229.0</v>
      </c>
      <c r="B129" s="1" t="s">
        <v>4736</v>
      </c>
      <c r="C129" s="1" t="str">
        <f>IFERROR(__xludf.DUMMYFUNCTION("GOOGLETRANSLATE(B129)"),"Climate plan")</f>
        <v>Climate plan</v>
      </c>
      <c r="D129" s="1" t="s">
        <v>1324</v>
      </c>
      <c r="E129" s="1" t="s">
        <v>1325</v>
      </c>
      <c r="F129" s="1" t="s">
        <v>234</v>
      </c>
      <c r="G129" s="1"/>
      <c r="H129" s="1">
        <v>2017.0</v>
      </c>
      <c r="I129" s="1" t="s">
        <v>811</v>
      </c>
      <c r="J129" s="1" t="s">
        <v>4737</v>
      </c>
      <c r="K129" s="4" t="s">
        <v>4738</v>
      </c>
      <c r="L129" s="1" t="s">
        <v>4312</v>
      </c>
      <c r="N129" s="1" t="s">
        <v>23</v>
      </c>
    </row>
    <row r="130" hidden="1">
      <c r="A130" s="1">
        <v>1229.0</v>
      </c>
      <c r="B130" s="1" t="s">
        <v>4739</v>
      </c>
      <c r="C130" s="1" t="str">
        <f>IFERROR(__xludf.DUMMYFUNCTION("GOOGLETRANSLATE(B130)"),"Climate Plan")</f>
        <v>Climate Plan</v>
      </c>
      <c r="D130" s="1" t="s">
        <v>1324</v>
      </c>
      <c r="E130" s="1" t="s">
        <v>1325</v>
      </c>
      <c r="F130" s="1" t="s">
        <v>234</v>
      </c>
      <c r="G130" s="1"/>
      <c r="H130" s="1">
        <v>2017.0</v>
      </c>
      <c r="I130" s="1" t="s">
        <v>24</v>
      </c>
      <c r="J130" s="1" t="s">
        <v>4740</v>
      </c>
      <c r="K130" s="4" t="s">
        <v>4741</v>
      </c>
      <c r="L130" s="1" t="s">
        <v>4312</v>
      </c>
      <c r="N130" s="1" t="s">
        <v>23</v>
      </c>
    </row>
    <row r="131">
      <c r="G131" s="6"/>
    </row>
    <row r="132">
      <c r="G132" s="6"/>
    </row>
    <row r="133">
      <c r="G133" s="6"/>
    </row>
    <row r="134">
      <c r="G134" s="6"/>
    </row>
    <row r="135">
      <c r="G135" s="6"/>
    </row>
    <row r="136">
      <c r="G136" s="6"/>
    </row>
    <row r="137">
      <c r="G137" s="6"/>
    </row>
    <row r="138">
      <c r="G138" s="6"/>
    </row>
    <row r="139">
      <c r="G139" s="6"/>
    </row>
    <row r="140">
      <c r="G140" s="6"/>
    </row>
    <row r="141">
      <c r="G141" s="6"/>
    </row>
    <row r="142">
      <c r="G142" s="6"/>
    </row>
    <row r="143">
      <c r="G143" s="6"/>
    </row>
    <row r="144">
      <c r="G144" s="6"/>
    </row>
    <row r="145">
      <c r="G145" s="6"/>
    </row>
    <row r="146">
      <c r="G146" s="6"/>
    </row>
    <row r="147">
      <c r="G147" s="6"/>
    </row>
    <row r="148">
      <c r="G148" s="6"/>
    </row>
    <row r="149">
      <c r="G149" s="6"/>
    </row>
    <row r="150">
      <c r="G150" s="6"/>
    </row>
    <row r="151">
      <c r="G151" s="6"/>
    </row>
    <row r="152">
      <c r="G152" s="6"/>
    </row>
    <row r="153">
      <c r="G153" s="6"/>
    </row>
    <row r="154">
      <c r="G154" s="6"/>
    </row>
    <row r="155">
      <c r="G155" s="6"/>
    </row>
    <row r="156">
      <c r="G156" s="6"/>
    </row>
    <row r="157">
      <c r="G157" s="6"/>
    </row>
    <row r="158">
      <c r="G158" s="6"/>
    </row>
    <row r="159">
      <c r="G159" s="6"/>
    </row>
    <row r="160">
      <c r="G160" s="6"/>
    </row>
    <row r="161">
      <c r="G161" s="6"/>
    </row>
    <row r="162">
      <c r="G162" s="6"/>
    </row>
    <row r="163">
      <c r="G163" s="6"/>
    </row>
    <row r="164">
      <c r="G164" s="6"/>
    </row>
    <row r="165">
      <c r="G165" s="6"/>
    </row>
    <row r="166">
      <c r="G166" s="6"/>
    </row>
    <row r="167">
      <c r="G167" s="6"/>
    </row>
    <row r="168">
      <c r="G168" s="6"/>
    </row>
    <row r="169">
      <c r="G169" s="6"/>
    </row>
    <row r="170">
      <c r="G170" s="6"/>
    </row>
    <row r="171">
      <c r="G171" s="6"/>
    </row>
    <row r="172">
      <c r="G172" s="6"/>
    </row>
    <row r="173">
      <c r="G173" s="6"/>
    </row>
    <row r="174">
      <c r="G174" s="6"/>
    </row>
    <row r="175">
      <c r="G175" s="6"/>
    </row>
    <row r="176">
      <c r="G176" s="6"/>
    </row>
    <row r="177">
      <c r="G177" s="6"/>
    </row>
    <row r="178">
      <c r="G178" s="6"/>
    </row>
    <row r="179">
      <c r="G179" s="6"/>
    </row>
    <row r="180">
      <c r="G180" s="6"/>
    </row>
    <row r="181">
      <c r="G181" s="6"/>
    </row>
    <row r="182">
      <c r="G182" s="6"/>
    </row>
    <row r="183">
      <c r="G183" s="6"/>
    </row>
    <row r="184">
      <c r="G184" s="6"/>
    </row>
    <row r="185">
      <c r="G185" s="6"/>
    </row>
    <row r="186">
      <c r="G186" s="6"/>
    </row>
    <row r="187">
      <c r="G187" s="6"/>
    </row>
    <row r="188">
      <c r="G188" s="6"/>
    </row>
    <row r="189">
      <c r="G189" s="6"/>
    </row>
    <row r="190">
      <c r="G190" s="6"/>
    </row>
    <row r="191">
      <c r="G191" s="6"/>
    </row>
    <row r="192">
      <c r="G192" s="6"/>
    </row>
    <row r="193">
      <c r="G193" s="6"/>
    </row>
    <row r="194">
      <c r="G194" s="6"/>
    </row>
    <row r="195">
      <c r="G195" s="6"/>
    </row>
    <row r="196">
      <c r="G196" s="6"/>
    </row>
    <row r="197">
      <c r="G197" s="6"/>
    </row>
    <row r="198">
      <c r="G198" s="6"/>
    </row>
    <row r="199">
      <c r="G199" s="6"/>
    </row>
    <row r="200">
      <c r="G200" s="6"/>
    </row>
    <row r="201">
      <c r="G201" s="6"/>
    </row>
    <row r="202">
      <c r="G202" s="6"/>
    </row>
    <row r="203">
      <c r="G203" s="6"/>
    </row>
    <row r="204">
      <c r="G204" s="6"/>
    </row>
    <row r="205">
      <c r="G205" s="6"/>
    </row>
    <row r="206">
      <c r="G206" s="6"/>
    </row>
    <row r="207">
      <c r="G207" s="6"/>
    </row>
    <row r="208">
      <c r="G208" s="6"/>
    </row>
    <row r="209">
      <c r="G209" s="6"/>
    </row>
    <row r="210">
      <c r="G210" s="6"/>
    </row>
    <row r="211">
      <c r="G211" s="6"/>
    </row>
    <row r="212">
      <c r="G212" s="6"/>
    </row>
    <row r="213">
      <c r="G213" s="6"/>
    </row>
    <row r="214">
      <c r="G214" s="6"/>
    </row>
    <row r="215">
      <c r="G215" s="6"/>
    </row>
    <row r="216">
      <c r="G216" s="6"/>
    </row>
    <row r="217">
      <c r="G217" s="6"/>
    </row>
    <row r="218">
      <c r="G218" s="6"/>
    </row>
    <row r="219">
      <c r="G219" s="6"/>
    </row>
    <row r="220">
      <c r="G220" s="6"/>
    </row>
    <row r="221">
      <c r="G221" s="6"/>
    </row>
    <row r="222">
      <c r="G222" s="6"/>
    </row>
    <row r="223">
      <c r="G223" s="6"/>
    </row>
    <row r="224">
      <c r="G224" s="6"/>
    </row>
    <row r="225">
      <c r="G225" s="6"/>
    </row>
    <row r="226">
      <c r="G226" s="6"/>
    </row>
    <row r="227">
      <c r="G227" s="6"/>
    </row>
    <row r="228">
      <c r="G228" s="6"/>
    </row>
    <row r="229">
      <c r="G229" s="6"/>
    </row>
    <row r="230">
      <c r="G230" s="6"/>
    </row>
    <row r="231">
      <c r="G231" s="6"/>
    </row>
    <row r="232">
      <c r="G232" s="6"/>
    </row>
    <row r="233">
      <c r="G233" s="6"/>
    </row>
    <row r="234">
      <c r="G234" s="6"/>
    </row>
    <row r="235">
      <c r="G235" s="6"/>
    </row>
    <row r="236">
      <c r="G236" s="6"/>
    </row>
    <row r="237">
      <c r="G237" s="6"/>
    </row>
    <row r="238">
      <c r="G238" s="6"/>
    </row>
    <row r="239">
      <c r="G239" s="6"/>
    </row>
    <row r="240">
      <c r="G240" s="6"/>
    </row>
    <row r="241">
      <c r="G241" s="6"/>
    </row>
    <row r="242">
      <c r="G242" s="6"/>
    </row>
    <row r="243">
      <c r="G243" s="6"/>
    </row>
    <row r="244">
      <c r="G244" s="6"/>
    </row>
    <row r="245">
      <c r="G245" s="6"/>
    </row>
    <row r="246">
      <c r="G246" s="6"/>
    </row>
    <row r="247">
      <c r="G247" s="6"/>
    </row>
    <row r="248">
      <c r="G248" s="6"/>
    </row>
    <row r="249">
      <c r="G249" s="6"/>
    </row>
    <row r="250">
      <c r="G250" s="6"/>
    </row>
    <row r="251">
      <c r="G251" s="6"/>
    </row>
    <row r="252">
      <c r="G252" s="6"/>
    </row>
    <row r="253">
      <c r="G253" s="6"/>
    </row>
    <row r="254">
      <c r="G254" s="6"/>
    </row>
    <row r="255">
      <c r="G255" s="6"/>
    </row>
    <row r="256">
      <c r="G256" s="6"/>
    </row>
    <row r="257">
      <c r="G257" s="6"/>
    </row>
    <row r="258">
      <c r="G258" s="6"/>
    </row>
    <row r="259">
      <c r="G259" s="6"/>
    </row>
    <row r="260">
      <c r="G260" s="6"/>
    </row>
    <row r="261">
      <c r="G261" s="6"/>
    </row>
    <row r="262">
      <c r="G262" s="6"/>
    </row>
    <row r="263">
      <c r="G263" s="6"/>
    </row>
    <row r="264">
      <c r="G264" s="6"/>
    </row>
    <row r="265">
      <c r="G265" s="6"/>
    </row>
    <row r="266">
      <c r="G266" s="6"/>
    </row>
    <row r="267">
      <c r="G267" s="6"/>
    </row>
    <row r="268">
      <c r="G268" s="6"/>
    </row>
    <row r="269">
      <c r="G269" s="6"/>
    </row>
    <row r="270">
      <c r="G270" s="6"/>
    </row>
    <row r="271">
      <c r="G271" s="6"/>
    </row>
    <row r="272">
      <c r="G272" s="6"/>
    </row>
    <row r="273">
      <c r="G273" s="6"/>
    </row>
    <row r="274">
      <c r="G274" s="6"/>
    </row>
    <row r="275">
      <c r="G275" s="6"/>
    </row>
    <row r="276">
      <c r="G276" s="6"/>
    </row>
    <row r="277">
      <c r="G277" s="6"/>
    </row>
    <row r="278">
      <c r="G278" s="6"/>
    </row>
    <row r="279">
      <c r="G279" s="6"/>
    </row>
    <row r="280">
      <c r="G280" s="6"/>
    </row>
    <row r="281">
      <c r="G281" s="6"/>
    </row>
    <row r="282">
      <c r="G282" s="6"/>
    </row>
    <row r="283">
      <c r="G283" s="6"/>
    </row>
    <row r="284">
      <c r="G284" s="6"/>
    </row>
    <row r="285">
      <c r="G285" s="6"/>
    </row>
    <row r="286">
      <c r="G286" s="6"/>
    </row>
    <row r="287">
      <c r="G287" s="6"/>
    </row>
    <row r="288">
      <c r="G288" s="6"/>
    </row>
    <row r="289">
      <c r="G289" s="6"/>
    </row>
    <row r="290">
      <c r="G290" s="6"/>
    </row>
    <row r="291">
      <c r="G291" s="6"/>
    </row>
    <row r="292">
      <c r="G292" s="6"/>
    </row>
    <row r="293">
      <c r="G293" s="6"/>
    </row>
    <row r="294">
      <c r="G294" s="6"/>
    </row>
    <row r="295">
      <c r="G295" s="6"/>
    </row>
    <row r="296">
      <c r="G296" s="6"/>
    </row>
    <row r="297">
      <c r="G297" s="6"/>
    </row>
    <row r="298">
      <c r="G298" s="6"/>
    </row>
    <row r="299">
      <c r="G299" s="6"/>
    </row>
    <row r="300">
      <c r="G300" s="6"/>
    </row>
    <row r="301">
      <c r="G301" s="6"/>
    </row>
    <row r="302">
      <c r="G302" s="6"/>
    </row>
    <row r="303">
      <c r="G303" s="6"/>
    </row>
    <row r="304">
      <c r="G304" s="6"/>
    </row>
    <row r="305">
      <c r="G305" s="6"/>
    </row>
    <row r="306">
      <c r="G306" s="6"/>
    </row>
    <row r="307">
      <c r="G307" s="6"/>
    </row>
    <row r="308">
      <c r="G308" s="6"/>
    </row>
    <row r="309">
      <c r="G309" s="6"/>
    </row>
    <row r="310">
      <c r="G310" s="6"/>
    </row>
    <row r="311">
      <c r="G311" s="6"/>
    </row>
    <row r="312">
      <c r="G312" s="6"/>
    </row>
    <row r="313">
      <c r="G313" s="6"/>
    </row>
    <row r="314">
      <c r="G314" s="6"/>
    </row>
    <row r="315">
      <c r="G315" s="6"/>
    </row>
    <row r="316">
      <c r="G316" s="6"/>
    </row>
    <row r="317">
      <c r="G317" s="6"/>
    </row>
    <row r="318">
      <c r="G318" s="6"/>
    </row>
    <row r="319">
      <c r="G319" s="6"/>
    </row>
    <row r="320">
      <c r="G320" s="6"/>
    </row>
    <row r="321">
      <c r="G321" s="6"/>
    </row>
    <row r="322">
      <c r="G322" s="6"/>
    </row>
    <row r="323">
      <c r="G323" s="6"/>
    </row>
    <row r="324">
      <c r="G324" s="6"/>
    </row>
    <row r="325">
      <c r="G325" s="6"/>
    </row>
    <row r="326">
      <c r="G326" s="6"/>
    </row>
    <row r="327">
      <c r="G327" s="6"/>
    </row>
    <row r="328">
      <c r="G328" s="6"/>
    </row>
    <row r="329">
      <c r="G329" s="6"/>
    </row>
    <row r="330">
      <c r="G330" s="6"/>
    </row>
    <row r="331">
      <c r="G331" s="6"/>
    </row>
    <row r="332">
      <c r="G332" s="6"/>
    </row>
    <row r="333">
      <c r="G333" s="6"/>
    </row>
    <row r="334">
      <c r="G334" s="6"/>
    </row>
    <row r="335">
      <c r="G335" s="6"/>
    </row>
    <row r="336">
      <c r="G336" s="6"/>
    </row>
    <row r="337">
      <c r="G337" s="6"/>
    </row>
    <row r="338">
      <c r="G338" s="6"/>
    </row>
    <row r="339">
      <c r="G339" s="6"/>
    </row>
    <row r="340">
      <c r="G340" s="6"/>
    </row>
    <row r="341">
      <c r="G341" s="6"/>
    </row>
    <row r="342">
      <c r="G342" s="6"/>
    </row>
    <row r="343">
      <c r="G343" s="6"/>
    </row>
    <row r="344">
      <c r="G344" s="6"/>
    </row>
    <row r="345">
      <c r="G345" s="6"/>
    </row>
    <row r="346">
      <c r="G346" s="6"/>
    </row>
    <row r="347">
      <c r="G347" s="6"/>
    </row>
    <row r="348">
      <c r="G348" s="6"/>
    </row>
    <row r="349">
      <c r="G349" s="6"/>
    </row>
    <row r="350">
      <c r="G350" s="6"/>
    </row>
    <row r="351">
      <c r="G351" s="6"/>
    </row>
    <row r="352">
      <c r="G352" s="6"/>
    </row>
    <row r="353">
      <c r="G353" s="6"/>
    </row>
    <row r="354">
      <c r="G354" s="6"/>
    </row>
    <row r="355">
      <c r="G355" s="6"/>
    </row>
    <row r="356">
      <c r="G356" s="6"/>
    </row>
    <row r="357">
      <c r="G357" s="6"/>
    </row>
    <row r="358">
      <c r="G358" s="6"/>
    </row>
    <row r="359">
      <c r="G359" s="6"/>
    </row>
    <row r="360">
      <c r="G360" s="6"/>
    </row>
    <row r="361">
      <c r="G361" s="6"/>
    </row>
    <row r="362">
      <c r="G362" s="6"/>
    </row>
    <row r="363">
      <c r="G363" s="6"/>
    </row>
    <row r="364">
      <c r="G364" s="6"/>
    </row>
    <row r="365">
      <c r="G365" s="6"/>
    </row>
    <row r="366">
      <c r="G366" s="6"/>
    </row>
    <row r="367">
      <c r="G367" s="6"/>
    </row>
    <row r="368">
      <c r="G368" s="6"/>
    </row>
    <row r="369">
      <c r="G369" s="6"/>
    </row>
    <row r="370">
      <c r="G370" s="6"/>
    </row>
    <row r="371">
      <c r="G371" s="6"/>
    </row>
    <row r="372">
      <c r="G372" s="6"/>
    </row>
    <row r="373">
      <c r="G373" s="6"/>
    </row>
    <row r="374">
      <c r="G374" s="6"/>
    </row>
    <row r="375">
      <c r="G375" s="6"/>
    </row>
    <row r="376">
      <c r="G376" s="6"/>
    </row>
    <row r="377">
      <c r="G377" s="6"/>
    </row>
    <row r="378">
      <c r="G378" s="6"/>
    </row>
    <row r="379">
      <c r="G379" s="6"/>
    </row>
    <row r="380">
      <c r="G380" s="6"/>
    </row>
    <row r="381">
      <c r="G381" s="6"/>
    </row>
    <row r="382">
      <c r="G382" s="6"/>
    </row>
    <row r="383">
      <c r="G383" s="6"/>
    </row>
    <row r="384">
      <c r="G384" s="6"/>
    </row>
    <row r="385">
      <c r="G385" s="6"/>
    </row>
    <row r="386">
      <c r="G386" s="6"/>
    </row>
    <row r="387">
      <c r="G387" s="6"/>
    </row>
    <row r="388">
      <c r="G388" s="6"/>
    </row>
    <row r="389">
      <c r="G389" s="6"/>
    </row>
    <row r="390">
      <c r="G390" s="6"/>
    </row>
    <row r="391">
      <c r="G391" s="6"/>
    </row>
    <row r="392">
      <c r="G392" s="6"/>
    </row>
    <row r="393">
      <c r="G393" s="6"/>
    </row>
    <row r="394">
      <c r="G394" s="6"/>
    </row>
    <row r="395">
      <c r="G395" s="6"/>
    </row>
    <row r="396">
      <c r="G396" s="6"/>
    </row>
    <row r="397">
      <c r="G397" s="6"/>
    </row>
    <row r="398">
      <c r="G398" s="6"/>
    </row>
    <row r="399">
      <c r="G399" s="6"/>
    </row>
    <row r="400">
      <c r="G400" s="6"/>
    </row>
    <row r="401">
      <c r="G401" s="6"/>
    </row>
    <row r="402">
      <c r="G402" s="6"/>
    </row>
    <row r="403">
      <c r="G403" s="6"/>
    </row>
    <row r="404">
      <c r="G404" s="6"/>
    </row>
    <row r="405">
      <c r="G405" s="6"/>
    </row>
    <row r="406">
      <c r="G406" s="6"/>
    </row>
    <row r="407">
      <c r="G407" s="6"/>
    </row>
    <row r="408">
      <c r="G408" s="6"/>
    </row>
    <row r="409">
      <c r="G409" s="6"/>
    </row>
    <row r="410">
      <c r="G410" s="6"/>
    </row>
    <row r="411">
      <c r="G411" s="6"/>
    </row>
    <row r="412">
      <c r="G412" s="6"/>
    </row>
    <row r="413">
      <c r="G413" s="6"/>
    </row>
    <row r="414">
      <c r="G414" s="6"/>
    </row>
    <row r="415">
      <c r="G415" s="6"/>
    </row>
    <row r="416">
      <c r="G416" s="6"/>
    </row>
    <row r="417">
      <c r="G417" s="6"/>
    </row>
    <row r="418">
      <c r="G418" s="6"/>
    </row>
    <row r="419">
      <c r="G419" s="6"/>
    </row>
    <row r="420">
      <c r="G420" s="6"/>
    </row>
    <row r="421">
      <c r="G421" s="6"/>
    </row>
    <row r="422">
      <c r="G422" s="6"/>
    </row>
    <row r="423">
      <c r="G423" s="6"/>
    </row>
    <row r="424">
      <c r="G424" s="6"/>
    </row>
    <row r="425">
      <c r="G425" s="6"/>
    </row>
    <row r="426">
      <c r="G426" s="6"/>
    </row>
    <row r="427">
      <c r="G427" s="6"/>
    </row>
    <row r="428">
      <c r="G428" s="6"/>
    </row>
    <row r="429">
      <c r="G429" s="6"/>
    </row>
    <row r="430">
      <c r="G430" s="6"/>
    </row>
    <row r="431">
      <c r="G431" s="6"/>
    </row>
    <row r="432">
      <c r="G432" s="6"/>
    </row>
    <row r="433">
      <c r="G433" s="6"/>
    </row>
    <row r="434">
      <c r="G434" s="6"/>
    </row>
    <row r="435">
      <c r="G435" s="6"/>
    </row>
    <row r="436">
      <c r="G436" s="6"/>
    </row>
    <row r="437">
      <c r="G437" s="6"/>
    </row>
    <row r="438">
      <c r="G438" s="6"/>
    </row>
    <row r="439">
      <c r="G439" s="6"/>
    </row>
    <row r="440">
      <c r="G440" s="6"/>
    </row>
    <row r="441">
      <c r="G441" s="6"/>
    </row>
    <row r="442">
      <c r="G442" s="6"/>
    </row>
    <row r="443">
      <c r="G443" s="6"/>
    </row>
    <row r="444">
      <c r="G444" s="6"/>
    </row>
    <row r="445">
      <c r="G445" s="6"/>
    </row>
    <row r="446">
      <c r="G446" s="6"/>
    </row>
    <row r="447">
      <c r="G447" s="6"/>
    </row>
    <row r="448">
      <c r="G448" s="6"/>
    </row>
    <row r="449">
      <c r="G449" s="6"/>
    </row>
    <row r="450">
      <c r="G450" s="6"/>
    </row>
    <row r="451">
      <c r="G451" s="6"/>
    </row>
    <row r="452">
      <c r="G452" s="6"/>
    </row>
    <row r="453">
      <c r="G453" s="6"/>
    </row>
    <row r="454">
      <c r="G454" s="6"/>
    </row>
    <row r="455">
      <c r="G455" s="6"/>
    </row>
    <row r="456">
      <c r="G456" s="6"/>
    </row>
    <row r="457">
      <c r="G457" s="6"/>
    </row>
    <row r="458">
      <c r="G458" s="6"/>
    </row>
    <row r="459">
      <c r="G459" s="6"/>
    </row>
    <row r="460">
      <c r="G460" s="6"/>
    </row>
    <row r="461">
      <c r="G461" s="6"/>
    </row>
    <row r="462">
      <c r="G462" s="6"/>
    </row>
    <row r="463">
      <c r="G463" s="6"/>
    </row>
    <row r="464">
      <c r="G464" s="6"/>
    </row>
    <row r="465">
      <c r="G465" s="6"/>
    </row>
    <row r="466">
      <c r="G466" s="6"/>
    </row>
    <row r="467">
      <c r="G467" s="6"/>
    </row>
    <row r="468">
      <c r="G468" s="6"/>
    </row>
    <row r="469">
      <c r="G469" s="6"/>
    </row>
    <row r="470">
      <c r="G470" s="6"/>
    </row>
    <row r="471">
      <c r="G471" s="6"/>
    </row>
    <row r="472">
      <c r="G472" s="6"/>
    </row>
    <row r="473">
      <c r="G473" s="6"/>
    </row>
    <row r="474">
      <c r="G474" s="6"/>
    </row>
    <row r="475">
      <c r="G475" s="6"/>
    </row>
    <row r="476">
      <c r="G476" s="6"/>
    </row>
    <row r="477">
      <c r="G477" s="6"/>
    </row>
    <row r="478">
      <c r="G478" s="6"/>
    </row>
    <row r="479">
      <c r="G479" s="6"/>
    </row>
    <row r="480">
      <c r="G480" s="6"/>
    </row>
    <row r="481">
      <c r="G481" s="6"/>
    </row>
    <row r="482">
      <c r="G482" s="6"/>
    </row>
    <row r="483">
      <c r="G483" s="6"/>
    </row>
    <row r="484">
      <c r="G484" s="6"/>
    </row>
    <row r="485">
      <c r="G485" s="6"/>
    </row>
    <row r="486">
      <c r="G486" s="6"/>
    </row>
    <row r="487">
      <c r="G487" s="6"/>
    </row>
    <row r="488">
      <c r="G488" s="6"/>
    </row>
    <row r="489">
      <c r="G489" s="6"/>
    </row>
    <row r="490">
      <c r="G490" s="6"/>
    </row>
    <row r="491">
      <c r="G491" s="6"/>
    </row>
    <row r="492">
      <c r="G492" s="6"/>
    </row>
    <row r="493">
      <c r="G493" s="6"/>
    </row>
    <row r="494">
      <c r="G494" s="6"/>
    </row>
    <row r="495">
      <c r="G495" s="6"/>
    </row>
    <row r="496">
      <c r="G496" s="6"/>
    </row>
    <row r="497">
      <c r="G497" s="6"/>
    </row>
    <row r="498">
      <c r="G498" s="6"/>
    </row>
    <row r="499">
      <c r="G499" s="6"/>
    </row>
    <row r="500">
      <c r="G500" s="6"/>
    </row>
    <row r="501">
      <c r="G501" s="6"/>
    </row>
    <row r="502">
      <c r="G502" s="6"/>
    </row>
    <row r="503">
      <c r="G503" s="6"/>
    </row>
    <row r="504">
      <c r="G504" s="6"/>
    </row>
    <row r="505">
      <c r="G505" s="6"/>
    </row>
    <row r="506">
      <c r="G506" s="6"/>
    </row>
    <row r="507">
      <c r="G507" s="6"/>
    </row>
    <row r="508">
      <c r="G508" s="6"/>
    </row>
    <row r="509">
      <c r="G509" s="6"/>
    </row>
    <row r="510">
      <c r="G510" s="6"/>
    </row>
    <row r="511">
      <c r="G511" s="6"/>
    </row>
    <row r="512">
      <c r="G512" s="6"/>
    </row>
    <row r="513">
      <c r="G513" s="6"/>
    </row>
    <row r="514">
      <c r="G514" s="6"/>
    </row>
    <row r="515">
      <c r="G515" s="6"/>
    </row>
    <row r="516">
      <c r="G516" s="6"/>
    </row>
    <row r="517">
      <c r="G517" s="6"/>
    </row>
    <row r="518">
      <c r="G518" s="6"/>
    </row>
    <row r="519">
      <c r="G519" s="6"/>
    </row>
    <row r="520">
      <c r="G520" s="6"/>
    </row>
    <row r="521">
      <c r="G521" s="6"/>
    </row>
    <row r="522">
      <c r="G522" s="6"/>
    </row>
    <row r="523">
      <c r="G523" s="6"/>
    </row>
    <row r="524">
      <c r="G524" s="6"/>
    </row>
    <row r="525">
      <c r="G525" s="6"/>
    </row>
    <row r="526">
      <c r="G526" s="6"/>
    </row>
    <row r="527">
      <c r="G527" s="6"/>
    </row>
    <row r="528">
      <c r="G528" s="6"/>
    </row>
    <row r="529">
      <c r="G529" s="6"/>
    </row>
    <row r="530">
      <c r="G530" s="6"/>
    </row>
    <row r="531">
      <c r="G531" s="6"/>
    </row>
    <row r="532">
      <c r="G532" s="6"/>
    </row>
    <row r="533">
      <c r="G533" s="6"/>
    </row>
    <row r="534">
      <c r="G534" s="6"/>
    </row>
    <row r="535">
      <c r="G535" s="6"/>
    </row>
    <row r="536">
      <c r="G536" s="6"/>
    </row>
    <row r="537">
      <c r="G537" s="6"/>
    </row>
    <row r="538">
      <c r="G538" s="6"/>
    </row>
    <row r="539">
      <c r="G539" s="6"/>
    </row>
    <row r="540">
      <c r="G540" s="6"/>
    </row>
    <row r="541">
      <c r="G541" s="6"/>
    </row>
    <row r="542">
      <c r="G542" s="6"/>
    </row>
    <row r="543">
      <c r="G543" s="6"/>
    </row>
    <row r="544">
      <c r="G544" s="6"/>
    </row>
    <row r="545">
      <c r="G545" s="6"/>
    </row>
    <row r="546">
      <c r="G546" s="6"/>
    </row>
    <row r="547">
      <c r="G547" s="6"/>
    </row>
    <row r="548">
      <c r="G548" s="6"/>
    </row>
    <row r="549">
      <c r="G549" s="6"/>
    </row>
    <row r="550">
      <c r="G550" s="6"/>
    </row>
    <row r="551">
      <c r="G551" s="6"/>
    </row>
    <row r="552">
      <c r="G552" s="6"/>
    </row>
    <row r="553">
      <c r="G553" s="6"/>
    </row>
    <row r="554">
      <c r="G554" s="6"/>
    </row>
    <row r="555">
      <c r="G555" s="6"/>
    </row>
    <row r="556">
      <c r="G556" s="6"/>
    </row>
    <row r="557">
      <c r="G557" s="6"/>
    </row>
    <row r="558">
      <c r="G558" s="6"/>
    </row>
    <row r="559">
      <c r="G559" s="6"/>
    </row>
    <row r="560">
      <c r="G560" s="6"/>
    </row>
    <row r="561">
      <c r="G561" s="6"/>
    </row>
    <row r="562">
      <c r="G562" s="6"/>
    </row>
    <row r="563">
      <c r="G563" s="6"/>
    </row>
    <row r="564">
      <c r="G564" s="6"/>
    </row>
    <row r="565">
      <c r="G565" s="6"/>
    </row>
    <row r="566">
      <c r="G566" s="6"/>
    </row>
    <row r="567">
      <c r="G567" s="6"/>
    </row>
    <row r="568">
      <c r="G568" s="6"/>
    </row>
    <row r="569">
      <c r="G569" s="6"/>
    </row>
    <row r="570">
      <c r="G570" s="6"/>
    </row>
    <row r="571">
      <c r="G571" s="6"/>
    </row>
    <row r="572">
      <c r="G572" s="6"/>
    </row>
    <row r="573">
      <c r="G573" s="6"/>
    </row>
    <row r="574">
      <c r="G574" s="6"/>
    </row>
    <row r="575">
      <c r="G575" s="6"/>
    </row>
    <row r="576">
      <c r="G576" s="6"/>
    </row>
    <row r="577">
      <c r="G577" s="6"/>
    </row>
    <row r="578">
      <c r="G578" s="6"/>
    </row>
    <row r="579">
      <c r="G579" s="6"/>
    </row>
    <row r="580">
      <c r="G580" s="6"/>
    </row>
    <row r="581">
      <c r="G581" s="6"/>
    </row>
    <row r="582">
      <c r="G582" s="6"/>
    </row>
    <row r="583">
      <c r="G583" s="6"/>
    </row>
    <row r="584">
      <c r="G584" s="6"/>
    </row>
    <row r="585">
      <c r="G585" s="6"/>
    </row>
    <row r="586">
      <c r="G586" s="6"/>
    </row>
    <row r="587">
      <c r="G587" s="6"/>
    </row>
    <row r="588">
      <c r="G588" s="6"/>
    </row>
    <row r="589">
      <c r="G589" s="6"/>
    </row>
    <row r="590">
      <c r="G590" s="6"/>
    </row>
    <row r="591">
      <c r="G591" s="6"/>
    </row>
    <row r="592">
      <c r="G592" s="6"/>
    </row>
    <row r="593">
      <c r="G593" s="6"/>
    </row>
    <row r="594">
      <c r="G594" s="6"/>
    </row>
    <row r="595">
      <c r="G595" s="6"/>
    </row>
    <row r="596">
      <c r="G596" s="6"/>
    </row>
    <row r="597">
      <c r="G597" s="6"/>
    </row>
    <row r="598">
      <c r="G598" s="6"/>
    </row>
    <row r="599">
      <c r="G599" s="6"/>
    </row>
    <row r="600">
      <c r="G600" s="6"/>
    </row>
    <row r="601">
      <c r="G601" s="6"/>
    </row>
    <row r="602">
      <c r="G602" s="6"/>
    </row>
    <row r="603">
      <c r="G603" s="6"/>
    </row>
    <row r="604">
      <c r="G604" s="6"/>
    </row>
    <row r="605">
      <c r="G605" s="6"/>
    </row>
    <row r="606">
      <c r="G606" s="6"/>
    </row>
    <row r="607">
      <c r="G607" s="6"/>
    </row>
    <row r="608">
      <c r="G608" s="6"/>
    </row>
    <row r="609">
      <c r="G609" s="6"/>
    </row>
    <row r="610">
      <c r="G610" s="6"/>
    </row>
    <row r="611">
      <c r="G611" s="6"/>
    </row>
    <row r="612">
      <c r="G612" s="6"/>
    </row>
    <row r="613">
      <c r="G613" s="6"/>
    </row>
    <row r="614">
      <c r="G614" s="6"/>
    </row>
    <row r="615">
      <c r="G615" s="6"/>
    </row>
    <row r="616">
      <c r="G616" s="6"/>
    </row>
    <row r="617">
      <c r="G617" s="6"/>
    </row>
    <row r="618">
      <c r="G618" s="6"/>
    </row>
    <row r="619">
      <c r="G619" s="6"/>
    </row>
    <row r="620">
      <c r="G620" s="6"/>
    </row>
    <row r="621">
      <c r="G621" s="6"/>
    </row>
    <row r="622">
      <c r="G622" s="6"/>
    </row>
    <row r="623">
      <c r="G623" s="6"/>
    </row>
    <row r="624">
      <c r="G624" s="6"/>
    </row>
    <row r="625">
      <c r="G625" s="6"/>
    </row>
    <row r="626">
      <c r="G626" s="6"/>
    </row>
    <row r="627">
      <c r="G627" s="6"/>
    </row>
    <row r="628">
      <c r="G628" s="6"/>
    </row>
    <row r="629">
      <c r="G629" s="6"/>
    </row>
    <row r="630">
      <c r="G630" s="6"/>
    </row>
    <row r="631">
      <c r="G631" s="6"/>
    </row>
    <row r="632">
      <c r="G632" s="6"/>
    </row>
    <row r="633">
      <c r="G633" s="6"/>
    </row>
    <row r="634">
      <c r="G634" s="6"/>
    </row>
    <row r="635">
      <c r="G635" s="6"/>
    </row>
    <row r="636">
      <c r="G636" s="6"/>
    </row>
    <row r="637">
      <c r="G637" s="6"/>
    </row>
    <row r="638">
      <c r="G638" s="6"/>
    </row>
    <row r="639">
      <c r="G639" s="6"/>
    </row>
    <row r="640">
      <c r="G640" s="6"/>
    </row>
    <row r="641">
      <c r="G641" s="6"/>
    </row>
    <row r="642">
      <c r="G642" s="6"/>
    </row>
    <row r="643">
      <c r="G643" s="6"/>
    </row>
    <row r="644">
      <c r="G644" s="6"/>
    </row>
    <row r="645">
      <c r="G645" s="6"/>
    </row>
    <row r="646">
      <c r="G646" s="6"/>
    </row>
    <row r="647">
      <c r="G647" s="6"/>
    </row>
    <row r="648">
      <c r="G648" s="6"/>
    </row>
    <row r="649">
      <c r="G649" s="6"/>
    </row>
    <row r="650">
      <c r="G650" s="6"/>
    </row>
    <row r="651">
      <c r="G651" s="6"/>
    </row>
    <row r="652">
      <c r="G652" s="6"/>
    </row>
    <row r="653">
      <c r="G653" s="6"/>
    </row>
    <row r="654">
      <c r="G654" s="6"/>
    </row>
    <row r="655">
      <c r="G655" s="6"/>
    </row>
    <row r="656">
      <c r="G656" s="6"/>
    </row>
    <row r="657">
      <c r="G657" s="6"/>
    </row>
    <row r="658">
      <c r="G658" s="6"/>
    </row>
    <row r="659">
      <c r="G659" s="6"/>
    </row>
    <row r="660">
      <c r="G660" s="6"/>
    </row>
    <row r="661">
      <c r="G661" s="6"/>
    </row>
    <row r="662">
      <c r="G662" s="6"/>
    </row>
    <row r="663">
      <c r="G663" s="6"/>
    </row>
    <row r="664">
      <c r="G664" s="6"/>
    </row>
    <row r="665">
      <c r="G665" s="6"/>
    </row>
    <row r="666">
      <c r="G666" s="6"/>
    </row>
    <row r="667">
      <c r="G667" s="6"/>
    </row>
    <row r="668">
      <c r="G668" s="6"/>
    </row>
    <row r="669">
      <c r="G669" s="6"/>
    </row>
    <row r="670">
      <c r="G670" s="6"/>
    </row>
    <row r="671">
      <c r="G671" s="6"/>
    </row>
    <row r="672">
      <c r="G672" s="6"/>
    </row>
    <row r="673">
      <c r="G673" s="6"/>
    </row>
    <row r="674">
      <c r="G674" s="6"/>
    </row>
    <row r="675">
      <c r="G675" s="6"/>
    </row>
    <row r="676">
      <c r="G676" s="6"/>
    </row>
    <row r="677">
      <c r="G677" s="6"/>
    </row>
    <row r="678">
      <c r="G678" s="6"/>
    </row>
    <row r="679">
      <c r="G679" s="6"/>
    </row>
    <row r="680">
      <c r="G680" s="6"/>
    </row>
    <row r="681">
      <c r="G681" s="6"/>
    </row>
    <row r="682">
      <c r="G682" s="6"/>
    </row>
    <row r="683">
      <c r="G683" s="6"/>
    </row>
    <row r="684">
      <c r="G684" s="6"/>
    </row>
    <row r="685">
      <c r="G685" s="6"/>
    </row>
    <row r="686">
      <c r="G686" s="6"/>
    </row>
    <row r="687">
      <c r="G687" s="6"/>
    </row>
    <row r="688">
      <c r="G688" s="6"/>
    </row>
    <row r="689">
      <c r="G689" s="6"/>
    </row>
    <row r="690">
      <c r="G690" s="6"/>
    </row>
    <row r="691">
      <c r="G691" s="6"/>
    </row>
    <row r="692">
      <c r="G692" s="6"/>
    </row>
    <row r="693">
      <c r="G693" s="6"/>
    </row>
    <row r="694">
      <c r="G694" s="6"/>
    </row>
    <row r="695">
      <c r="G695" s="6"/>
    </row>
    <row r="696">
      <c r="G696" s="6"/>
    </row>
    <row r="697">
      <c r="G697" s="6"/>
    </row>
    <row r="698">
      <c r="G698" s="6"/>
    </row>
    <row r="699">
      <c r="G699" s="6"/>
    </row>
    <row r="700">
      <c r="G700" s="6"/>
    </row>
    <row r="701">
      <c r="G701" s="6"/>
    </row>
    <row r="702">
      <c r="G702" s="6"/>
    </row>
    <row r="703">
      <c r="G703" s="6"/>
    </row>
    <row r="704">
      <c r="G704" s="6"/>
    </row>
    <row r="705">
      <c r="G705" s="6"/>
    </row>
    <row r="706">
      <c r="G706" s="6"/>
    </row>
    <row r="707">
      <c r="G707" s="6"/>
    </row>
    <row r="708">
      <c r="G708" s="6"/>
    </row>
    <row r="709">
      <c r="G709" s="6"/>
    </row>
    <row r="710">
      <c r="G710" s="6"/>
    </row>
    <row r="711">
      <c r="G711" s="6"/>
    </row>
    <row r="712">
      <c r="G712" s="6"/>
    </row>
    <row r="713">
      <c r="G713" s="6"/>
    </row>
    <row r="714">
      <c r="G714" s="6"/>
    </row>
    <row r="715">
      <c r="G715" s="6"/>
    </row>
    <row r="716">
      <c r="G716" s="6"/>
    </row>
    <row r="717">
      <c r="G717" s="6"/>
    </row>
    <row r="718">
      <c r="G718" s="6"/>
    </row>
    <row r="719">
      <c r="G719" s="6"/>
    </row>
    <row r="720">
      <c r="G720" s="6"/>
    </row>
    <row r="721">
      <c r="G721" s="6"/>
    </row>
    <row r="722">
      <c r="G722" s="6"/>
    </row>
    <row r="723">
      <c r="G723" s="6"/>
    </row>
    <row r="724">
      <c r="G724" s="6"/>
    </row>
    <row r="725">
      <c r="G725" s="6"/>
    </row>
    <row r="726">
      <c r="G726" s="6"/>
    </row>
    <row r="727">
      <c r="G727" s="6"/>
    </row>
    <row r="728">
      <c r="G728" s="6"/>
    </row>
    <row r="729">
      <c r="G729" s="6"/>
    </row>
    <row r="730">
      <c r="G730" s="6"/>
    </row>
    <row r="731">
      <c r="G731" s="6"/>
    </row>
    <row r="732">
      <c r="G732" s="6"/>
    </row>
    <row r="733">
      <c r="G733" s="6"/>
    </row>
    <row r="734">
      <c r="G734" s="6"/>
    </row>
    <row r="735">
      <c r="G735" s="6"/>
    </row>
    <row r="736">
      <c r="G736" s="6"/>
    </row>
    <row r="737">
      <c r="G737" s="6"/>
    </row>
    <row r="738">
      <c r="G738" s="6"/>
    </row>
    <row r="739">
      <c r="G739" s="6"/>
    </row>
    <row r="740">
      <c r="G740" s="6"/>
    </row>
    <row r="741">
      <c r="G741" s="6"/>
    </row>
    <row r="742">
      <c r="G742" s="6"/>
    </row>
    <row r="743">
      <c r="G743" s="6"/>
    </row>
    <row r="744">
      <c r="G744" s="6"/>
    </row>
    <row r="745">
      <c r="G745" s="6"/>
    </row>
    <row r="746">
      <c r="G746" s="6"/>
    </row>
    <row r="747">
      <c r="G747" s="6"/>
    </row>
    <row r="748">
      <c r="G748" s="6"/>
    </row>
    <row r="749">
      <c r="G749" s="6"/>
    </row>
    <row r="750">
      <c r="G750" s="6"/>
    </row>
    <row r="751">
      <c r="G751" s="6"/>
    </row>
    <row r="752">
      <c r="G752" s="6"/>
    </row>
    <row r="753">
      <c r="G753" s="6"/>
    </row>
    <row r="754">
      <c r="G754" s="6"/>
    </row>
    <row r="755">
      <c r="G755" s="6"/>
    </row>
    <row r="756">
      <c r="G756" s="6"/>
    </row>
    <row r="757">
      <c r="G757" s="6"/>
    </row>
    <row r="758">
      <c r="G758" s="6"/>
    </row>
    <row r="759">
      <c r="G759" s="6"/>
    </row>
    <row r="760">
      <c r="G760" s="6"/>
    </row>
    <row r="761">
      <c r="G761" s="6"/>
    </row>
    <row r="762">
      <c r="G762" s="6"/>
    </row>
    <row r="763">
      <c r="G763" s="6"/>
    </row>
    <row r="764">
      <c r="G764" s="6"/>
    </row>
    <row r="765">
      <c r="G765" s="6"/>
    </row>
    <row r="766">
      <c r="G766" s="6"/>
    </row>
    <row r="767">
      <c r="G767" s="6"/>
    </row>
    <row r="768">
      <c r="G768" s="6"/>
    </row>
    <row r="769">
      <c r="G769" s="6"/>
    </row>
    <row r="770">
      <c r="G770" s="6"/>
    </row>
    <row r="771">
      <c r="G771" s="6"/>
    </row>
    <row r="772">
      <c r="G772" s="6"/>
    </row>
    <row r="773">
      <c r="G773" s="6"/>
    </row>
    <row r="774">
      <c r="G774" s="6"/>
    </row>
    <row r="775">
      <c r="G775" s="6"/>
    </row>
    <row r="776">
      <c r="G776" s="6"/>
    </row>
    <row r="777">
      <c r="G777" s="6"/>
    </row>
    <row r="778">
      <c r="G778" s="6"/>
    </row>
    <row r="779">
      <c r="G779" s="6"/>
    </row>
    <row r="780">
      <c r="G780" s="6"/>
    </row>
    <row r="781">
      <c r="G781" s="6"/>
    </row>
    <row r="782">
      <c r="G782" s="6"/>
    </row>
    <row r="783">
      <c r="G783" s="6"/>
    </row>
    <row r="784">
      <c r="G784" s="6"/>
    </row>
    <row r="785">
      <c r="G785" s="6"/>
    </row>
    <row r="786">
      <c r="G786" s="6"/>
    </row>
    <row r="787">
      <c r="G787" s="6"/>
    </row>
    <row r="788">
      <c r="G788" s="6"/>
    </row>
    <row r="789">
      <c r="G789" s="6"/>
    </row>
    <row r="790">
      <c r="G790" s="6"/>
    </row>
    <row r="791">
      <c r="G791" s="6"/>
    </row>
    <row r="792">
      <c r="G792" s="6"/>
    </row>
    <row r="793">
      <c r="G793" s="6"/>
    </row>
    <row r="794">
      <c r="G794" s="6"/>
    </row>
    <row r="795">
      <c r="G795" s="6"/>
    </row>
    <row r="796">
      <c r="G796" s="6"/>
    </row>
    <row r="797">
      <c r="G797" s="6"/>
    </row>
    <row r="798">
      <c r="G798" s="6"/>
    </row>
    <row r="799">
      <c r="G799" s="6"/>
    </row>
    <row r="800">
      <c r="G800" s="6"/>
    </row>
    <row r="801">
      <c r="G801" s="6"/>
    </row>
    <row r="802">
      <c r="G802" s="6"/>
    </row>
    <row r="803">
      <c r="G803" s="6"/>
    </row>
    <row r="804">
      <c r="G804" s="6"/>
    </row>
    <row r="805">
      <c r="G805" s="6"/>
    </row>
    <row r="806">
      <c r="G806" s="6"/>
    </row>
    <row r="807">
      <c r="G807" s="6"/>
    </row>
    <row r="808">
      <c r="G808" s="6"/>
    </row>
    <row r="809">
      <c r="G809" s="6"/>
    </row>
    <row r="810">
      <c r="G810" s="6"/>
    </row>
    <row r="811">
      <c r="G811" s="6"/>
    </row>
    <row r="812">
      <c r="G812" s="6"/>
    </row>
    <row r="813">
      <c r="G813" s="6"/>
    </row>
    <row r="814">
      <c r="G814" s="6"/>
    </row>
    <row r="815">
      <c r="G815" s="6"/>
    </row>
    <row r="816">
      <c r="G816" s="6"/>
    </row>
    <row r="817">
      <c r="G817" s="6"/>
    </row>
    <row r="818">
      <c r="G818" s="6"/>
    </row>
    <row r="819">
      <c r="G819" s="6"/>
    </row>
    <row r="820">
      <c r="G820" s="6"/>
    </row>
    <row r="821">
      <c r="G821" s="6"/>
    </row>
    <row r="822">
      <c r="G822" s="6"/>
    </row>
    <row r="823">
      <c r="G823" s="6"/>
    </row>
    <row r="824">
      <c r="G824" s="6"/>
    </row>
    <row r="825">
      <c r="G825" s="6"/>
    </row>
    <row r="826">
      <c r="G826" s="6"/>
    </row>
    <row r="827">
      <c r="G827" s="6"/>
    </row>
    <row r="828">
      <c r="G828" s="6"/>
    </row>
    <row r="829">
      <c r="G829" s="6"/>
    </row>
    <row r="830">
      <c r="G830" s="6"/>
    </row>
    <row r="831">
      <c r="G831" s="6"/>
    </row>
    <row r="832">
      <c r="G832" s="6"/>
    </row>
    <row r="833">
      <c r="G833" s="6"/>
    </row>
    <row r="834">
      <c r="G834" s="6"/>
    </row>
    <row r="835">
      <c r="G835" s="6"/>
    </row>
    <row r="836">
      <c r="G836" s="6"/>
    </row>
    <row r="837">
      <c r="G837" s="6"/>
    </row>
    <row r="838">
      <c r="G838" s="6"/>
    </row>
    <row r="839">
      <c r="G839" s="6"/>
    </row>
    <row r="840">
      <c r="G840" s="6"/>
    </row>
    <row r="841">
      <c r="G841" s="6"/>
    </row>
    <row r="842">
      <c r="G842" s="6"/>
    </row>
    <row r="843">
      <c r="G843" s="6"/>
    </row>
    <row r="844">
      <c r="G844" s="6"/>
    </row>
    <row r="845">
      <c r="G845" s="6"/>
    </row>
    <row r="846">
      <c r="G846" s="6"/>
    </row>
    <row r="847">
      <c r="G847" s="6"/>
    </row>
    <row r="848">
      <c r="G848" s="6"/>
    </row>
    <row r="849">
      <c r="G849" s="6"/>
    </row>
    <row r="850">
      <c r="G850" s="6"/>
    </row>
    <row r="851">
      <c r="G851" s="6"/>
    </row>
    <row r="852">
      <c r="G852" s="6"/>
    </row>
    <row r="853">
      <c r="G853" s="6"/>
    </row>
    <row r="854">
      <c r="G854" s="6"/>
    </row>
    <row r="855">
      <c r="G855" s="6"/>
    </row>
    <row r="856">
      <c r="G856" s="6"/>
    </row>
    <row r="857">
      <c r="G857" s="6"/>
    </row>
    <row r="858">
      <c r="G858" s="6"/>
    </row>
    <row r="859">
      <c r="G859" s="6"/>
    </row>
    <row r="860">
      <c r="G860" s="6"/>
    </row>
    <row r="861">
      <c r="G861" s="6"/>
    </row>
    <row r="862">
      <c r="G862" s="6"/>
    </row>
    <row r="863">
      <c r="G863" s="6"/>
    </row>
    <row r="864">
      <c r="G864" s="6"/>
    </row>
    <row r="865">
      <c r="G865" s="6"/>
    </row>
    <row r="866">
      <c r="G866" s="6"/>
    </row>
    <row r="867">
      <c r="G867" s="6"/>
    </row>
    <row r="868">
      <c r="G868" s="6"/>
    </row>
    <row r="869">
      <c r="G869" s="6"/>
    </row>
    <row r="870">
      <c r="G870" s="6"/>
    </row>
    <row r="871">
      <c r="G871" s="6"/>
    </row>
    <row r="872">
      <c r="G872" s="6"/>
    </row>
    <row r="873">
      <c r="G873" s="6"/>
    </row>
    <row r="874">
      <c r="G874" s="6"/>
    </row>
    <row r="875">
      <c r="G875" s="6"/>
    </row>
    <row r="876">
      <c r="G876" s="6"/>
    </row>
    <row r="877">
      <c r="G877" s="6"/>
    </row>
    <row r="878">
      <c r="G878" s="6"/>
    </row>
    <row r="879">
      <c r="G879" s="6"/>
    </row>
    <row r="880">
      <c r="G880" s="6"/>
    </row>
    <row r="881">
      <c r="G881" s="6"/>
    </row>
    <row r="882">
      <c r="G882" s="6"/>
    </row>
    <row r="883">
      <c r="G883" s="6"/>
    </row>
    <row r="884">
      <c r="G884" s="6"/>
    </row>
    <row r="885">
      <c r="G885" s="6"/>
    </row>
    <row r="886">
      <c r="G886" s="6"/>
    </row>
    <row r="887">
      <c r="G887" s="6"/>
    </row>
    <row r="888">
      <c r="G888" s="6"/>
    </row>
    <row r="889">
      <c r="G889" s="6"/>
    </row>
    <row r="890">
      <c r="G890" s="6"/>
    </row>
    <row r="891">
      <c r="G891" s="6"/>
    </row>
    <row r="892">
      <c r="G892" s="6"/>
    </row>
    <row r="893">
      <c r="G893" s="6"/>
    </row>
    <row r="894">
      <c r="G894" s="6"/>
    </row>
    <row r="895">
      <c r="G895" s="6"/>
    </row>
    <row r="896">
      <c r="G896" s="6"/>
    </row>
    <row r="897">
      <c r="G897" s="6"/>
    </row>
    <row r="898">
      <c r="G898" s="6"/>
    </row>
    <row r="899">
      <c r="G899" s="6"/>
    </row>
    <row r="900">
      <c r="G900" s="6"/>
    </row>
    <row r="901">
      <c r="G901" s="6"/>
    </row>
    <row r="902">
      <c r="G902" s="6"/>
    </row>
    <row r="903">
      <c r="G903" s="6"/>
    </row>
    <row r="904">
      <c r="G904" s="6"/>
    </row>
    <row r="905">
      <c r="G905" s="6"/>
    </row>
    <row r="906">
      <c r="G906" s="6"/>
    </row>
    <row r="907">
      <c r="G907" s="6"/>
    </row>
    <row r="908">
      <c r="G908" s="6"/>
    </row>
    <row r="909">
      <c r="G909" s="6"/>
    </row>
    <row r="910">
      <c r="G910" s="6"/>
    </row>
    <row r="911">
      <c r="G911" s="6"/>
    </row>
    <row r="912">
      <c r="G912" s="6"/>
    </row>
    <row r="913">
      <c r="G913" s="6"/>
    </row>
    <row r="914">
      <c r="G914" s="6"/>
    </row>
    <row r="915">
      <c r="G915" s="6"/>
    </row>
    <row r="916">
      <c r="G916" s="6"/>
    </row>
    <row r="917">
      <c r="G917" s="6"/>
    </row>
    <row r="918">
      <c r="G918" s="6"/>
    </row>
    <row r="919">
      <c r="G919" s="6"/>
    </row>
    <row r="920">
      <c r="G920" s="6"/>
    </row>
    <row r="921">
      <c r="G921" s="6"/>
    </row>
    <row r="922">
      <c r="G922" s="6"/>
    </row>
    <row r="923">
      <c r="G923" s="6"/>
    </row>
    <row r="924">
      <c r="G924" s="6"/>
    </row>
    <row r="925">
      <c r="G925" s="6"/>
    </row>
    <row r="926">
      <c r="G926" s="6"/>
    </row>
    <row r="927">
      <c r="G927" s="6"/>
    </row>
    <row r="928">
      <c r="G928" s="6"/>
    </row>
    <row r="929">
      <c r="G929" s="6"/>
    </row>
    <row r="930">
      <c r="G930" s="6"/>
    </row>
    <row r="931">
      <c r="G931" s="6"/>
    </row>
    <row r="932">
      <c r="G932" s="6"/>
    </row>
    <row r="933">
      <c r="G933" s="6"/>
    </row>
    <row r="934">
      <c r="G934" s="6"/>
    </row>
    <row r="935">
      <c r="G935" s="6"/>
    </row>
    <row r="936">
      <c r="G936" s="6"/>
    </row>
    <row r="937">
      <c r="G937" s="6"/>
    </row>
    <row r="938">
      <c r="G938" s="6"/>
    </row>
    <row r="939">
      <c r="G939" s="6"/>
    </row>
    <row r="940">
      <c r="G940" s="6"/>
    </row>
    <row r="941">
      <c r="G941" s="6"/>
    </row>
    <row r="942">
      <c r="G942" s="6"/>
    </row>
    <row r="943">
      <c r="G943" s="6"/>
    </row>
    <row r="944">
      <c r="G944" s="6"/>
    </row>
    <row r="945">
      <c r="G945" s="6"/>
    </row>
    <row r="946">
      <c r="G946" s="6"/>
    </row>
    <row r="947">
      <c r="G947" s="6"/>
    </row>
    <row r="948">
      <c r="G948" s="6"/>
    </row>
    <row r="949">
      <c r="G949" s="6"/>
    </row>
    <row r="950">
      <c r="G950" s="6"/>
    </row>
    <row r="951">
      <c r="G951" s="6"/>
    </row>
    <row r="952">
      <c r="G952" s="6"/>
    </row>
    <row r="953">
      <c r="G953" s="6"/>
    </row>
    <row r="954">
      <c r="G954" s="6"/>
    </row>
    <row r="955">
      <c r="G955" s="6"/>
    </row>
    <row r="956">
      <c r="G956" s="6"/>
    </row>
    <row r="957">
      <c r="G957" s="6"/>
    </row>
    <row r="958">
      <c r="G958" s="6"/>
    </row>
    <row r="959">
      <c r="G959" s="6"/>
    </row>
    <row r="960">
      <c r="G960" s="6"/>
    </row>
    <row r="961">
      <c r="G961" s="6"/>
    </row>
    <row r="962">
      <c r="G962" s="6"/>
    </row>
    <row r="963">
      <c r="G963" s="6"/>
    </row>
    <row r="964">
      <c r="G964" s="6"/>
    </row>
    <row r="965">
      <c r="G965" s="6"/>
    </row>
    <row r="966">
      <c r="G966" s="6"/>
    </row>
    <row r="967">
      <c r="G967" s="6"/>
    </row>
    <row r="968">
      <c r="G968" s="6"/>
    </row>
    <row r="969">
      <c r="G969" s="6"/>
    </row>
    <row r="970">
      <c r="G970" s="6"/>
    </row>
    <row r="971">
      <c r="G971" s="6"/>
    </row>
    <row r="972">
      <c r="G972" s="6"/>
    </row>
    <row r="973">
      <c r="G973" s="6"/>
    </row>
    <row r="974">
      <c r="G974" s="6"/>
    </row>
    <row r="975">
      <c r="G975" s="6"/>
    </row>
    <row r="976">
      <c r="G976" s="6"/>
    </row>
    <row r="977">
      <c r="G977" s="6"/>
    </row>
    <row r="978">
      <c r="G978" s="6"/>
    </row>
    <row r="979">
      <c r="G979" s="6"/>
    </row>
    <row r="980">
      <c r="G980" s="6"/>
    </row>
    <row r="981">
      <c r="G981" s="6"/>
    </row>
    <row r="982">
      <c r="G982" s="6"/>
    </row>
    <row r="983">
      <c r="G983" s="6"/>
    </row>
    <row r="984">
      <c r="G984" s="6"/>
    </row>
    <row r="985">
      <c r="G985" s="6"/>
    </row>
    <row r="986">
      <c r="G986" s="6"/>
    </row>
    <row r="987">
      <c r="G987" s="6"/>
    </row>
    <row r="988">
      <c r="G988" s="6"/>
    </row>
    <row r="989">
      <c r="G989" s="6"/>
    </row>
    <row r="990">
      <c r="G990" s="6"/>
    </row>
    <row r="991">
      <c r="G991" s="6"/>
    </row>
    <row r="992">
      <c r="G992" s="6"/>
    </row>
    <row r="993">
      <c r="G993" s="6"/>
    </row>
    <row r="994">
      <c r="G994" s="6"/>
    </row>
    <row r="995">
      <c r="G995" s="6"/>
    </row>
    <row r="996">
      <c r="G996" s="6"/>
    </row>
    <row r="997">
      <c r="G997" s="6"/>
    </row>
    <row r="998">
      <c r="G998" s="6"/>
    </row>
    <row r="999">
      <c r="G999" s="6"/>
    </row>
    <row r="1000">
      <c r="G1000" s="6"/>
    </row>
  </sheetData>
  <autoFilter ref="$A$1:$O$130">
    <filterColumn colId="5">
      <filters blank="1">
        <filter val="Action Plan"/>
      </filters>
    </filterColumn>
  </autoFilter>
  <dataValidations>
    <dataValidation type="list" allowBlank="1" sqref="F2:G130 G131:G1000">
      <formula1>'_document type values'!$A:$A</formula1>
    </dataValidation>
  </dataValidations>
  <hyperlinks>
    <hyperlink r:id="rId1" ref="K2"/>
    <hyperlink r:id="rId2" ref="K3"/>
    <hyperlink r:id="rId3" ref="K4"/>
    <hyperlink r:id="rId4" ref="K5"/>
    <hyperlink r:id="rId5" ref="K6"/>
    <hyperlink r:id="rId6" ref="K7"/>
    <hyperlink r:id="rId7" ref="J8"/>
    <hyperlink r:id="rId8" ref="K8"/>
    <hyperlink r:id="rId9" ref="J9"/>
    <hyperlink r:id="rId10" ref="K9"/>
    <hyperlink r:id="rId11" ref="J10"/>
    <hyperlink r:id="rId12" ref="K10"/>
    <hyperlink r:id="rId13" ref="K11"/>
    <hyperlink r:id="rId14" ref="K12"/>
    <hyperlink r:id="rId15" ref="K13"/>
    <hyperlink r:id="rId16" ref="K14"/>
    <hyperlink r:id="rId17" ref="K15"/>
    <hyperlink r:id="rId18" ref="J16"/>
    <hyperlink r:id="rId19" ref="K16"/>
    <hyperlink r:id="rId20" ref="K17"/>
    <hyperlink r:id="rId21" ref="K18"/>
    <hyperlink r:id="rId22" ref="K19"/>
    <hyperlink r:id="rId23" ref="K20"/>
    <hyperlink r:id="rId24" location="croatias-recovery-and-resilience-plan|en" ref="J21"/>
    <hyperlink r:id="rId25" location="croatias-recovery-and-resilience-plan" ref="K21"/>
    <hyperlink r:id="rId26" ref="K22"/>
    <hyperlink r:id="rId27" ref="K23"/>
    <hyperlink r:id="rId28" ref="K24"/>
    <hyperlink r:id="rId29" ref="J25"/>
    <hyperlink r:id="rId30" ref="K25"/>
    <hyperlink r:id="rId31" ref="K26"/>
    <hyperlink r:id="rId32" ref="K27"/>
    <hyperlink r:id="rId33" ref="K28"/>
    <hyperlink r:id="rId34" ref="K29"/>
    <hyperlink r:id="rId35" location="cyprus-recovery-and-resilience-plan|en" ref="J30"/>
    <hyperlink r:id="rId36" location="cyprus-recovery-and-resilience-plan" ref="K30"/>
    <hyperlink r:id="rId37" ref="J31"/>
    <hyperlink r:id="rId38" ref="K31"/>
    <hyperlink r:id="rId39" ref="K32"/>
    <hyperlink r:id="rId40" ref="J33"/>
    <hyperlink r:id="rId41" ref="K33"/>
    <hyperlink r:id="rId42" ref="J34"/>
    <hyperlink r:id="rId43" ref="K34"/>
    <hyperlink r:id="rId44" ref="K35"/>
    <hyperlink r:id="rId45" ref="K36"/>
    <hyperlink r:id="rId46" ref="K37"/>
    <hyperlink r:id="rId47" ref="K38"/>
    <hyperlink r:id="rId48" ref="K39"/>
    <hyperlink r:id="rId49" ref="K40"/>
    <hyperlink r:id="rId50" location="czechias-recovery-and-resilience-plan|en" ref="J41"/>
    <hyperlink r:id="rId51" location="czechias-recovery-and-resilience-plan" ref="K41"/>
    <hyperlink r:id="rId52" ref="J42"/>
    <hyperlink r:id="rId53" ref="K42"/>
    <hyperlink r:id="rId54" ref="K43"/>
    <hyperlink r:id="rId55" ref="K44"/>
    <hyperlink r:id="rId56" ref="K45"/>
    <hyperlink r:id="rId57" ref="K46"/>
    <hyperlink r:id="rId58" ref="K47"/>
    <hyperlink r:id="rId59" ref="K48"/>
    <hyperlink r:id="rId60" ref="J49"/>
    <hyperlink r:id="rId61" ref="K49"/>
    <hyperlink r:id="rId62" ref="J50"/>
    <hyperlink r:id="rId63" ref="K50"/>
    <hyperlink r:id="rId64" ref="J51"/>
    <hyperlink r:id="rId65" ref="K51"/>
    <hyperlink r:id="rId66" location="denmarks-recovery-and-resilience-plan|en" ref="J52"/>
    <hyperlink r:id="rId67" location="denmarks-recovery-and-resilience-plan" ref="K52"/>
    <hyperlink r:id="rId68" ref="J53"/>
    <hyperlink r:id="rId69" ref="K53"/>
    <hyperlink r:id="rId70" ref="K54"/>
    <hyperlink r:id="rId71" ref="K55"/>
    <hyperlink r:id="rId72" ref="K56"/>
    <hyperlink r:id="rId73" ref="K57"/>
    <hyperlink r:id="rId74" ref="K58"/>
    <hyperlink r:id="rId75" ref="K59"/>
    <hyperlink r:id="rId76" ref="K60"/>
    <hyperlink r:id="rId77" ref="K61"/>
    <hyperlink r:id="rId78" ref="K62"/>
    <hyperlink r:id="rId79" ref="K63"/>
    <hyperlink r:id="rId80" ref="K64"/>
    <hyperlink r:id="rId81" ref="K65"/>
    <hyperlink r:id="rId82" ref="K66"/>
    <hyperlink r:id="rId83" ref="K67"/>
    <hyperlink r:id="rId84" ref="K68"/>
    <hyperlink r:id="rId85" ref="K69"/>
    <hyperlink r:id="rId86" ref="K70"/>
    <hyperlink r:id="rId87" ref="K71"/>
    <hyperlink r:id="rId88" ref="K72"/>
    <hyperlink r:id="rId89" ref="K73"/>
    <hyperlink r:id="rId90" ref="K74"/>
    <hyperlink r:id="rId91" ref="K75"/>
    <hyperlink r:id="rId92" ref="K76"/>
    <hyperlink r:id="rId93" ref="K77"/>
    <hyperlink r:id="rId94" ref="J78"/>
    <hyperlink r:id="rId95" ref="K78"/>
    <hyperlink r:id="rId96" ref="J79"/>
    <hyperlink r:id="rId97" ref="K79"/>
    <hyperlink r:id="rId98" ref="J80"/>
    <hyperlink r:id="rId99" ref="K80"/>
    <hyperlink r:id="rId100" ref="J81"/>
    <hyperlink r:id="rId101" ref="K81"/>
    <hyperlink r:id="rId102" ref="J82"/>
    <hyperlink r:id="rId103" ref="K82"/>
    <hyperlink r:id="rId104" ref="K83"/>
    <hyperlink r:id="rId105" ref="J84"/>
    <hyperlink r:id="rId106" ref="K84"/>
    <hyperlink r:id="rId107" ref="J85"/>
    <hyperlink r:id="rId108" ref="K85"/>
    <hyperlink r:id="rId109" ref="K86"/>
    <hyperlink r:id="rId110" ref="J87"/>
    <hyperlink r:id="rId111" ref="K87"/>
    <hyperlink r:id="rId112" ref="K88"/>
    <hyperlink r:id="rId113" ref="J89"/>
    <hyperlink r:id="rId114" ref="K89"/>
    <hyperlink r:id="rId115" ref="K90"/>
    <hyperlink r:id="rId116" ref="J91"/>
    <hyperlink r:id="rId117" ref="K91"/>
    <hyperlink r:id="rId118" ref="K92"/>
    <hyperlink r:id="rId119" ref="K93"/>
    <hyperlink r:id="rId120" ref="J94"/>
    <hyperlink r:id="rId121" ref="K94"/>
    <hyperlink r:id="rId122" ref="J95"/>
    <hyperlink r:id="rId123" ref="K95"/>
    <hyperlink r:id="rId124" ref="J96"/>
    <hyperlink r:id="rId125" ref="K96"/>
    <hyperlink r:id="rId126" ref="J97"/>
    <hyperlink r:id="rId127" ref="K97"/>
    <hyperlink r:id="rId128" ref="K98"/>
    <hyperlink r:id="rId129" ref="K99"/>
    <hyperlink r:id="rId130" ref="J100"/>
    <hyperlink r:id="rId131" ref="K100"/>
    <hyperlink r:id="rId132" ref="J101"/>
    <hyperlink r:id="rId133" ref="K101"/>
    <hyperlink r:id="rId134" ref="K102"/>
    <hyperlink r:id="rId135" ref="K103"/>
    <hyperlink r:id="rId136" ref="J104"/>
    <hyperlink r:id="rId137" ref="K104"/>
    <hyperlink r:id="rId138" ref="K105"/>
    <hyperlink r:id="rId139" ref="J106"/>
    <hyperlink r:id="rId140" ref="K106"/>
    <hyperlink r:id="rId141" ref="J107"/>
    <hyperlink r:id="rId142" ref="K107"/>
    <hyperlink r:id="rId143" ref="J108"/>
    <hyperlink r:id="rId144" ref="K108"/>
    <hyperlink r:id="rId145" ref="J109"/>
    <hyperlink r:id="rId146" ref="K109"/>
    <hyperlink r:id="rId147" ref="K110"/>
    <hyperlink r:id="rId148" ref="K111"/>
    <hyperlink r:id="rId149" ref="K112"/>
    <hyperlink r:id="rId150" ref="K113"/>
    <hyperlink r:id="rId151" ref="K114"/>
    <hyperlink r:id="rId152" ref="K115"/>
    <hyperlink r:id="rId153" ref="K116"/>
    <hyperlink r:id="rId154" ref="K117"/>
    <hyperlink r:id="rId155" ref="K118"/>
    <hyperlink r:id="rId156" ref="K119"/>
    <hyperlink r:id="rId157" ref="K120"/>
    <hyperlink r:id="rId158" ref="K121"/>
    <hyperlink r:id="rId159" ref="K122"/>
    <hyperlink r:id="rId160" ref="K123"/>
    <hyperlink r:id="rId161" ref="K124"/>
    <hyperlink r:id="rId162" ref="K125"/>
    <hyperlink r:id="rId163" ref="K126"/>
    <hyperlink r:id="rId164" ref="K127"/>
    <hyperlink r:id="rId165" ref="K128"/>
    <hyperlink r:id="rId166" ref="K129"/>
    <hyperlink r:id="rId167" ref="K130"/>
  </hyperlinks>
  <drawing r:id="rId168"/>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hidden="1" min="3" max="3" width="12.63"/>
    <col hidden="1" min="6" max="8" width="12.63"/>
    <col hidden="1" min="10" max="12" width="12.63"/>
    <col customWidth="1" hidden="1" min="13" max="13" width="54.63"/>
    <col customWidth="1" min="14" max="14" width="13.88"/>
    <col customWidth="1" min="15" max="15" width="21.38"/>
    <col customWidth="1" min="16" max="16" width="136.38"/>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26" t="s">
        <v>8</v>
      </c>
      <c r="P1" s="26" t="s">
        <v>9</v>
      </c>
      <c r="Q1" s="27"/>
      <c r="R1" s="27"/>
      <c r="S1" s="27"/>
      <c r="T1" s="27"/>
      <c r="U1" s="27"/>
      <c r="V1" s="27"/>
      <c r="W1" s="27"/>
      <c r="X1" s="27"/>
      <c r="Y1" s="27"/>
      <c r="Z1" s="27"/>
      <c r="AA1" s="27"/>
      <c r="AB1" s="27"/>
    </row>
    <row r="2">
      <c r="A2" s="28">
        <v>1130.0</v>
      </c>
      <c r="B2" s="29" t="s">
        <v>4742</v>
      </c>
      <c r="C2" s="29" t="s">
        <v>432</v>
      </c>
      <c r="D2" s="29" t="s">
        <v>1093</v>
      </c>
      <c r="E2" s="29" t="s">
        <v>1094</v>
      </c>
      <c r="F2" s="30"/>
      <c r="G2" s="29" t="s">
        <v>441</v>
      </c>
      <c r="H2" s="29" t="s">
        <v>573</v>
      </c>
      <c r="I2" s="29" t="s">
        <v>234</v>
      </c>
      <c r="J2" s="30"/>
      <c r="K2" s="29" t="s">
        <v>1731</v>
      </c>
      <c r="L2" s="29" t="s">
        <v>459</v>
      </c>
      <c r="M2" s="29" t="s">
        <v>528</v>
      </c>
      <c r="N2" s="29"/>
      <c r="O2" s="29"/>
      <c r="P2" s="29" t="s">
        <v>4743</v>
      </c>
    </row>
    <row r="3">
      <c r="A3" s="28">
        <v>8682.0</v>
      </c>
      <c r="B3" s="29" t="s">
        <v>4744</v>
      </c>
      <c r="C3" s="29" t="s">
        <v>432</v>
      </c>
      <c r="D3" s="29" t="s">
        <v>1093</v>
      </c>
      <c r="E3" s="29" t="s">
        <v>1094</v>
      </c>
      <c r="F3" s="30"/>
      <c r="G3" s="29" t="s">
        <v>450</v>
      </c>
      <c r="H3" s="29" t="s">
        <v>1221</v>
      </c>
      <c r="I3" s="29" t="s">
        <v>407</v>
      </c>
      <c r="J3" s="30"/>
      <c r="K3" s="29" t="s">
        <v>450</v>
      </c>
      <c r="L3" s="29" t="s">
        <v>4745</v>
      </c>
      <c r="M3" s="29" t="s">
        <v>4746</v>
      </c>
      <c r="N3" s="29"/>
      <c r="O3" s="29"/>
      <c r="P3" s="29" t="s">
        <v>4747</v>
      </c>
    </row>
    <row r="4">
      <c r="A4" s="28">
        <v>8696.0</v>
      </c>
      <c r="B4" s="29" t="s">
        <v>4748</v>
      </c>
      <c r="C4" s="29" t="s">
        <v>449</v>
      </c>
      <c r="D4" s="29" t="s">
        <v>1093</v>
      </c>
      <c r="E4" s="29" t="s">
        <v>1094</v>
      </c>
      <c r="F4" s="30"/>
      <c r="G4" s="29" t="s">
        <v>441</v>
      </c>
      <c r="H4" s="29" t="s">
        <v>526</v>
      </c>
      <c r="I4" s="29" t="s">
        <v>41</v>
      </c>
      <c r="J4" s="30"/>
      <c r="K4" s="29" t="s">
        <v>4111</v>
      </c>
      <c r="L4" s="29" t="s">
        <v>476</v>
      </c>
      <c r="M4" s="29" t="s">
        <v>4749</v>
      </c>
      <c r="N4" s="29"/>
      <c r="O4" s="29"/>
      <c r="P4" s="29" t="s">
        <v>4750</v>
      </c>
    </row>
    <row r="5">
      <c r="A5" s="28">
        <v>9326.0</v>
      </c>
      <c r="B5" s="29" t="s">
        <v>4751</v>
      </c>
      <c r="C5" s="29" t="s">
        <v>432</v>
      </c>
      <c r="D5" s="29" t="s">
        <v>1093</v>
      </c>
      <c r="E5" s="29" t="s">
        <v>1094</v>
      </c>
      <c r="F5" s="30"/>
      <c r="G5" s="29" t="s">
        <v>441</v>
      </c>
      <c r="H5" s="29" t="s">
        <v>434</v>
      </c>
      <c r="I5" s="29" t="s">
        <v>18</v>
      </c>
      <c r="J5" s="30"/>
      <c r="K5" s="29" t="s">
        <v>4752</v>
      </c>
      <c r="L5" s="29" t="s">
        <v>1727</v>
      </c>
      <c r="M5" s="29" t="s">
        <v>4753</v>
      </c>
      <c r="N5" s="29"/>
      <c r="O5" s="29"/>
      <c r="P5" s="29" t="s">
        <v>4754</v>
      </c>
    </row>
    <row r="6">
      <c r="A6" s="28">
        <v>9412.0</v>
      </c>
      <c r="B6" s="29" t="s">
        <v>4755</v>
      </c>
      <c r="C6" s="29" t="s">
        <v>432</v>
      </c>
      <c r="D6" s="29" t="s">
        <v>1093</v>
      </c>
      <c r="E6" s="29" t="s">
        <v>1094</v>
      </c>
      <c r="F6" s="30"/>
      <c r="G6" s="29" t="s">
        <v>441</v>
      </c>
      <c r="H6" s="29" t="s">
        <v>634</v>
      </c>
      <c r="I6" s="29" t="s">
        <v>234</v>
      </c>
      <c r="J6" s="30"/>
      <c r="K6" s="30"/>
      <c r="L6" s="29" t="s">
        <v>4756</v>
      </c>
      <c r="M6" s="29" t="s">
        <v>4757</v>
      </c>
      <c r="N6" s="29"/>
      <c r="O6" s="29"/>
      <c r="P6" s="29" t="s">
        <v>4758</v>
      </c>
    </row>
    <row r="7">
      <c r="A7" s="28">
        <v>10135.0</v>
      </c>
      <c r="B7" s="29" t="s">
        <v>4759</v>
      </c>
      <c r="C7" s="29" t="s">
        <v>432</v>
      </c>
      <c r="D7" s="29" t="s">
        <v>1093</v>
      </c>
      <c r="E7" s="29" t="s">
        <v>1094</v>
      </c>
      <c r="F7" s="30"/>
      <c r="G7" s="29" t="s">
        <v>441</v>
      </c>
      <c r="H7" s="29" t="s">
        <v>434</v>
      </c>
      <c r="I7" s="29" t="s">
        <v>368</v>
      </c>
      <c r="J7" s="30"/>
      <c r="K7" s="29" t="s">
        <v>620</v>
      </c>
      <c r="L7" s="29" t="s">
        <v>1776</v>
      </c>
      <c r="M7" s="29" t="s">
        <v>4760</v>
      </c>
      <c r="N7" s="29"/>
      <c r="O7" s="29"/>
      <c r="P7" s="29" t="s">
        <v>4761</v>
      </c>
    </row>
    <row r="8">
      <c r="A8" s="28">
        <v>4791.0</v>
      </c>
      <c r="B8" s="29" t="s">
        <v>4762</v>
      </c>
      <c r="C8" s="29" t="s">
        <v>449</v>
      </c>
      <c r="D8" s="29" t="s">
        <v>4359</v>
      </c>
      <c r="E8" s="29" t="s">
        <v>4360</v>
      </c>
      <c r="F8" s="30"/>
      <c r="G8" s="29" t="s">
        <v>441</v>
      </c>
      <c r="H8" s="29" t="s">
        <v>3036</v>
      </c>
      <c r="I8" s="29" t="s">
        <v>41</v>
      </c>
      <c r="J8" s="30"/>
      <c r="K8" s="29" t="s">
        <v>3026</v>
      </c>
      <c r="L8" s="29" t="s">
        <v>476</v>
      </c>
      <c r="M8" s="29" t="s">
        <v>4763</v>
      </c>
      <c r="N8" s="29"/>
      <c r="O8" s="29"/>
      <c r="P8" s="29" t="s">
        <v>4764</v>
      </c>
    </row>
    <row r="9">
      <c r="A9" s="28">
        <v>9496.0</v>
      </c>
      <c r="B9" s="29" t="s">
        <v>4765</v>
      </c>
      <c r="C9" s="29" t="s">
        <v>432</v>
      </c>
      <c r="D9" s="29" t="s">
        <v>4359</v>
      </c>
      <c r="E9" s="29" t="s">
        <v>4360</v>
      </c>
      <c r="F9" s="30"/>
      <c r="G9" s="29" t="s">
        <v>433</v>
      </c>
      <c r="H9" s="29" t="s">
        <v>4766</v>
      </c>
      <c r="I9" s="29" t="s">
        <v>234</v>
      </c>
      <c r="J9" s="29" t="s">
        <v>4767</v>
      </c>
      <c r="K9" s="29" t="s">
        <v>4768</v>
      </c>
      <c r="L9" s="29" t="s">
        <v>4769</v>
      </c>
      <c r="M9" s="29" t="s">
        <v>4770</v>
      </c>
      <c r="N9" s="29"/>
      <c r="O9" s="29"/>
      <c r="P9" s="29" t="s">
        <v>4771</v>
      </c>
    </row>
    <row r="10">
      <c r="A10" s="28">
        <v>10492.0</v>
      </c>
      <c r="B10" s="29" t="s">
        <v>4772</v>
      </c>
      <c r="C10" s="29" t="s">
        <v>432</v>
      </c>
      <c r="D10" s="29" t="s">
        <v>4359</v>
      </c>
      <c r="E10" s="29" t="s">
        <v>4360</v>
      </c>
      <c r="F10" s="30"/>
      <c r="G10" s="29" t="s">
        <v>441</v>
      </c>
      <c r="H10" s="29" t="s">
        <v>1157</v>
      </c>
      <c r="I10" s="29" t="s">
        <v>234</v>
      </c>
      <c r="J10" s="30"/>
      <c r="K10" s="29" t="s">
        <v>4773</v>
      </c>
      <c r="L10" s="29" t="s">
        <v>575</v>
      </c>
      <c r="M10" s="29" t="s">
        <v>4774</v>
      </c>
      <c r="N10" s="29"/>
      <c r="O10" s="29"/>
      <c r="P10" s="29" t="s">
        <v>4775</v>
      </c>
    </row>
    <row r="11">
      <c r="A11" s="28">
        <v>1137.0</v>
      </c>
      <c r="B11" s="29" t="s">
        <v>4776</v>
      </c>
      <c r="C11" s="29" t="s">
        <v>449</v>
      </c>
      <c r="D11" s="29" t="s">
        <v>4392</v>
      </c>
      <c r="E11" s="29" t="s">
        <v>4393</v>
      </c>
      <c r="F11" s="30"/>
      <c r="G11" s="29" t="s">
        <v>610</v>
      </c>
      <c r="H11" s="29" t="s">
        <v>4777</v>
      </c>
      <c r="I11" s="29" t="s">
        <v>41</v>
      </c>
      <c r="J11" s="30"/>
      <c r="K11" s="29" t="s">
        <v>2527</v>
      </c>
      <c r="L11" s="29" t="s">
        <v>4778</v>
      </c>
      <c r="M11" s="29" t="s">
        <v>4779</v>
      </c>
      <c r="N11" s="29"/>
      <c r="O11" s="29"/>
      <c r="P11" s="29" t="s">
        <v>4780</v>
      </c>
    </row>
    <row r="12">
      <c r="A12" s="28">
        <v>9209.0</v>
      </c>
      <c r="B12" s="29" t="s">
        <v>4781</v>
      </c>
      <c r="C12" s="29" t="s">
        <v>432</v>
      </c>
      <c r="D12" s="29" t="s">
        <v>4392</v>
      </c>
      <c r="E12" s="29" t="s">
        <v>4393</v>
      </c>
      <c r="F12" s="29" t="s">
        <v>450</v>
      </c>
      <c r="G12" s="29" t="s">
        <v>450</v>
      </c>
      <c r="H12" s="29" t="s">
        <v>4782</v>
      </c>
      <c r="I12" s="29" t="s">
        <v>4783</v>
      </c>
      <c r="J12" s="29" t="s">
        <v>4784</v>
      </c>
      <c r="K12" s="29" t="s">
        <v>610</v>
      </c>
      <c r="L12" s="29" t="s">
        <v>4785</v>
      </c>
      <c r="M12" s="29" t="s">
        <v>4786</v>
      </c>
      <c r="N12" s="29"/>
      <c r="O12" s="29"/>
      <c r="P12" s="29" t="s">
        <v>4787</v>
      </c>
    </row>
    <row r="13">
      <c r="A13" s="28">
        <v>10494.0</v>
      </c>
      <c r="B13" s="29" t="s">
        <v>4788</v>
      </c>
      <c r="C13" s="29" t="s">
        <v>432</v>
      </c>
      <c r="D13" s="29" t="s">
        <v>4406</v>
      </c>
      <c r="E13" s="29" t="s">
        <v>4407</v>
      </c>
      <c r="F13" s="30"/>
      <c r="G13" s="29" t="s">
        <v>441</v>
      </c>
      <c r="H13" s="29" t="s">
        <v>4789</v>
      </c>
      <c r="I13" s="29" t="s">
        <v>234</v>
      </c>
      <c r="J13" s="30"/>
      <c r="K13" s="29" t="s">
        <v>4790</v>
      </c>
      <c r="L13" s="29" t="s">
        <v>4791</v>
      </c>
      <c r="M13" s="29" t="s">
        <v>576</v>
      </c>
      <c r="N13" s="29"/>
      <c r="O13" s="29"/>
      <c r="P13" s="29" t="s">
        <v>4792</v>
      </c>
    </row>
    <row r="14">
      <c r="A14" s="28">
        <v>1142.0</v>
      </c>
      <c r="B14" s="29" t="s">
        <v>4793</v>
      </c>
      <c r="C14" s="29" t="s">
        <v>432</v>
      </c>
      <c r="D14" s="29" t="s">
        <v>4425</v>
      </c>
      <c r="E14" s="29" t="s">
        <v>4426</v>
      </c>
      <c r="F14" s="30"/>
      <c r="G14" s="29" t="s">
        <v>450</v>
      </c>
      <c r="H14" s="29" t="s">
        <v>634</v>
      </c>
      <c r="I14" s="29" t="s">
        <v>407</v>
      </c>
      <c r="J14" s="30"/>
      <c r="K14" s="29" t="s">
        <v>681</v>
      </c>
      <c r="L14" s="29" t="s">
        <v>489</v>
      </c>
      <c r="M14" s="29" t="s">
        <v>4794</v>
      </c>
      <c r="N14" s="29"/>
      <c r="O14" s="29"/>
      <c r="P14" s="29" t="s">
        <v>4795</v>
      </c>
    </row>
    <row r="15">
      <c r="A15" s="28">
        <v>8657.0</v>
      </c>
      <c r="B15" s="29" t="s">
        <v>4796</v>
      </c>
      <c r="C15" s="29" t="s">
        <v>432</v>
      </c>
      <c r="D15" s="29" t="s">
        <v>4425</v>
      </c>
      <c r="E15" s="29" t="s">
        <v>4426</v>
      </c>
      <c r="F15" s="29" t="s">
        <v>441</v>
      </c>
      <c r="G15" s="29" t="s">
        <v>433</v>
      </c>
      <c r="H15" s="29" t="s">
        <v>2370</v>
      </c>
      <c r="I15" s="29" t="s">
        <v>4797</v>
      </c>
      <c r="J15" s="30"/>
      <c r="K15" s="29" t="s">
        <v>4798</v>
      </c>
      <c r="L15" s="29" t="s">
        <v>511</v>
      </c>
      <c r="M15" s="29" t="s">
        <v>4799</v>
      </c>
      <c r="N15" s="29"/>
      <c r="O15" s="29"/>
      <c r="P15" s="29" t="s">
        <v>4800</v>
      </c>
    </row>
    <row r="16">
      <c r="A16" s="28">
        <v>9498.0</v>
      </c>
      <c r="B16" s="29" t="s">
        <v>4801</v>
      </c>
      <c r="C16" s="29" t="s">
        <v>432</v>
      </c>
      <c r="D16" s="29" t="s">
        <v>4425</v>
      </c>
      <c r="E16" s="29" t="s">
        <v>4426</v>
      </c>
      <c r="F16" s="30"/>
      <c r="G16" s="29" t="s">
        <v>433</v>
      </c>
      <c r="H16" s="29" t="s">
        <v>4802</v>
      </c>
      <c r="I16" s="29" t="s">
        <v>234</v>
      </c>
      <c r="J16" s="29" t="s">
        <v>4803</v>
      </c>
      <c r="K16" s="29" t="s">
        <v>4804</v>
      </c>
      <c r="L16" s="29" t="s">
        <v>4805</v>
      </c>
      <c r="M16" s="29" t="s">
        <v>4806</v>
      </c>
      <c r="N16" s="29"/>
      <c r="O16" s="29"/>
      <c r="P16" s="29" t="s">
        <v>4807</v>
      </c>
    </row>
    <row r="17">
      <c r="A17" s="28">
        <v>10495.0</v>
      </c>
      <c r="B17" s="29" t="s">
        <v>4808</v>
      </c>
      <c r="C17" s="29" t="s">
        <v>432</v>
      </c>
      <c r="D17" s="29" t="s">
        <v>4425</v>
      </c>
      <c r="E17" s="29" t="s">
        <v>4426</v>
      </c>
      <c r="F17" s="30"/>
      <c r="G17" s="29" t="s">
        <v>441</v>
      </c>
      <c r="H17" s="29" t="s">
        <v>1157</v>
      </c>
      <c r="I17" s="29" t="s">
        <v>234</v>
      </c>
      <c r="J17" s="30"/>
      <c r="K17" s="29" t="s">
        <v>4809</v>
      </c>
      <c r="L17" s="29" t="s">
        <v>4229</v>
      </c>
      <c r="M17" s="29" t="s">
        <v>576</v>
      </c>
      <c r="N17" s="29"/>
      <c r="O17" s="29"/>
      <c r="P17" s="29" t="s">
        <v>4810</v>
      </c>
    </row>
    <row r="18">
      <c r="A18" s="28">
        <v>3001.0</v>
      </c>
      <c r="B18" s="29" t="s">
        <v>4811</v>
      </c>
      <c r="C18" s="29" t="s">
        <v>432</v>
      </c>
      <c r="D18" s="29" t="s">
        <v>4459</v>
      </c>
      <c r="E18" s="29" t="s">
        <v>4460</v>
      </c>
      <c r="F18" s="29" t="s">
        <v>433</v>
      </c>
      <c r="G18" s="29" t="s">
        <v>433</v>
      </c>
      <c r="H18" s="29" t="s">
        <v>1221</v>
      </c>
      <c r="I18" s="29" t="s">
        <v>234</v>
      </c>
      <c r="J18" s="29" t="s">
        <v>4812</v>
      </c>
      <c r="K18" s="29" t="s">
        <v>659</v>
      </c>
      <c r="L18" s="30"/>
      <c r="M18" s="29" t="s">
        <v>4813</v>
      </c>
      <c r="N18" s="29"/>
      <c r="O18" s="29"/>
      <c r="P18" s="29" t="s">
        <v>4814</v>
      </c>
    </row>
    <row r="19">
      <c r="A19" s="28">
        <v>9363.0</v>
      </c>
      <c r="B19" s="29" t="s">
        <v>4815</v>
      </c>
      <c r="C19" s="29" t="s">
        <v>449</v>
      </c>
      <c r="D19" s="29" t="s">
        <v>4468</v>
      </c>
      <c r="E19" s="29" t="s">
        <v>4469</v>
      </c>
      <c r="F19" s="29" t="s">
        <v>441</v>
      </c>
      <c r="G19" s="29" t="s">
        <v>433</v>
      </c>
      <c r="H19" s="29" t="s">
        <v>1135</v>
      </c>
      <c r="I19" s="29" t="s">
        <v>45</v>
      </c>
      <c r="J19" s="30"/>
      <c r="K19" s="29" t="s">
        <v>4816</v>
      </c>
      <c r="L19" s="29" t="s">
        <v>511</v>
      </c>
      <c r="M19" s="29" t="s">
        <v>4817</v>
      </c>
      <c r="N19" s="29"/>
      <c r="O19" s="29"/>
      <c r="P19" s="29" t="s">
        <v>4818</v>
      </c>
    </row>
    <row r="20">
      <c r="A20" s="28">
        <v>9404.0</v>
      </c>
      <c r="B20" s="29" t="s">
        <v>4819</v>
      </c>
      <c r="C20" s="29" t="s">
        <v>449</v>
      </c>
      <c r="D20" s="29" t="s">
        <v>4468</v>
      </c>
      <c r="E20" s="29" t="s">
        <v>4469</v>
      </c>
      <c r="F20" s="30"/>
      <c r="G20" s="29" t="s">
        <v>441</v>
      </c>
      <c r="H20" s="29" t="s">
        <v>469</v>
      </c>
      <c r="I20" s="29" t="s">
        <v>45</v>
      </c>
      <c r="J20" s="30"/>
      <c r="K20" s="29" t="s">
        <v>4820</v>
      </c>
      <c r="L20" s="29" t="s">
        <v>459</v>
      </c>
      <c r="M20" s="29" t="s">
        <v>4821</v>
      </c>
      <c r="N20" s="29"/>
      <c r="O20" s="29"/>
      <c r="P20" s="29" t="s">
        <v>4822</v>
      </c>
    </row>
    <row r="21">
      <c r="A21" s="28">
        <v>10496.0</v>
      </c>
      <c r="B21" s="29" t="s">
        <v>4823</v>
      </c>
      <c r="C21" s="29" t="s">
        <v>432</v>
      </c>
      <c r="D21" s="29" t="s">
        <v>4468</v>
      </c>
      <c r="E21" s="29" t="s">
        <v>4469</v>
      </c>
      <c r="F21" s="30"/>
      <c r="G21" s="29" t="s">
        <v>441</v>
      </c>
      <c r="H21" s="29" t="s">
        <v>4824</v>
      </c>
      <c r="I21" s="29" t="s">
        <v>234</v>
      </c>
      <c r="J21" s="30"/>
      <c r="K21" s="29" t="s">
        <v>4825</v>
      </c>
      <c r="L21" s="29" t="s">
        <v>4826</v>
      </c>
      <c r="M21" s="29" t="s">
        <v>576</v>
      </c>
      <c r="N21" s="29"/>
      <c r="O21" s="29"/>
      <c r="P21" s="29" t="s">
        <v>4827</v>
      </c>
    </row>
    <row r="22">
      <c r="A22" s="28">
        <v>1165.0</v>
      </c>
      <c r="B22" s="29" t="s">
        <v>4828</v>
      </c>
      <c r="C22" s="29" t="s">
        <v>449</v>
      </c>
      <c r="D22" s="29" t="s">
        <v>4500</v>
      </c>
      <c r="E22" s="29" t="s">
        <v>4501</v>
      </c>
      <c r="F22" s="30"/>
      <c r="G22" s="29" t="s">
        <v>441</v>
      </c>
      <c r="H22" s="29" t="s">
        <v>474</v>
      </c>
      <c r="I22" s="29" t="s">
        <v>41</v>
      </c>
      <c r="J22" s="30"/>
      <c r="K22" s="29" t="s">
        <v>537</v>
      </c>
      <c r="L22" s="29" t="s">
        <v>489</v>
      </c>
      <c r="M22" s="29" t="s">
        <v>4829</v>
      </c>
      <c r="N22" s="29"/>
      <c r="O22" s="29"/>
      <c r="P22" s="29" t="s">
        <v>4830</v>
      </c>
    </row>
    <row r="23">
      <c r="A23" s="28">
        <v>1167.0</v>
      </c>
      <c r="B23" s="29" t="s">
        <v>4831</v>
      </c>
      <c r="C23" s="29" t="s">
        <v>449</v>
      </c>
      <c r="D23" s="29" t="s">
        <v>4500</v>
      </c>
      <c r="E23" s="29" t="s">
        <v>4501</v>
      </c>
      <c r="F23" s="30"/>
      <c r="G23" s="29" t="s">
        <v>441</v>
      </c>
      <c r="H23" s="29" t="s">
        <v>1725</v>
      </c>
      <c r="I23" s="29" t="s">
        <v>41</v>
      </c>
      <c r="J23" s="30"/>
      <c r="K23" s="29" t="s">
        <v>1817</v>
      </c>
      <c r="L23" s="29" t="s">
        <v>459</v>
      </c>
      <c r="M23" s="29" t="s">
        <v>4832</v>
      </c>
      <c r="N23" s="29"/>
      <c r="O23" s="29"/>
      <c r="P23" s="29" t="s">
        <v>4833</v>
      </c>
    </row>
    <row r="24">
      <c r="A24" s="28">
        <v>1169.0</v>
      </c>
      <c r="B24" s="29" t="s">
        <v>4834</v>
      </c>
      <c r="C24" s="29" t="s">
        <v>432</v>
      </c>
      <c r="D24" s="29" t="s">
        <v>4516</v>
      </c>
      <c r="E24" s="29" t="s">
        <v>4517</v>
      </c>
      <c r="F24" s="30"/>
      <c r="G24" s="29" t="s">
        <v>433</v>
      </c>
      <c r="H24" s="29" t="s">
        <v>434</v>
      </c>
      <c r="I24" s="29" t="s">
        <v>234</v>
      </c>
      <c r="J24" s="30"/>
      <c r="K24" s="29" t="s">
        <v>1881</v>
      </c>
      <c r="L24" s="29" t="s">
        <v>4835</v>
      </c>
      <c r="M24" s="29" t="s">
        <v>4836</v>
      </c>
      <c r="N24" s="29"/>
      <c r="O24" s="29"/>
      <c r="P24" s="29" t="s">
        <v>4837</v>
      </c>
    </row>
    <row r="25">
      <c r="A25" s="28">
        <v>1171.0</v>
      </c>
      <c r="B25" s="29" t="s">
        <v>4838</v>
      </c>
      <c r="C25" s="29" t="s">
        <v>432</v>
      </c>
      <c r="D25" s="29" t="s">
        <v>4516</v>
      </c>
      <c r="E25" s="29" t="s">
        <v>4517</v>
      </c>
      <c r="F25" s="30"/>
      <c r="G25" s="29" t="s">
        <v>441</v>
      </c>
      <c r="H25" s="29" t="s">
        <v>526</v>
      </c>
      <c r="I25" s="29" t="s">
        <v>435</v>
      </c>
      <c r="J25" s="30"/>
      <c r="K25" s="29" t="s">
        <v>493</v>
      </c>
      <c r="L25" s="29" t="s">
        <v>2984</v>
      </c>
      <c r="M25" s="29" t="s">
        <v>4839</v>
      </c>
      <c r="N25" s="29"/>
      <c r="O25" s="29"/>
      <c r="P25" s="29" t="s">
        <v>4840</v>
      </c>
    </row>
    <row r="26">
      <c r="A26" s="28">
        <v>9500.0</v>
      </c>
      <c r="B26" s="29" t="s">
        <v>4841</v>
      </c>
      <c r="C26" s="29" t="s">
        <v>432</v>
      </c>
      <c r="D26" s="29" t="s">
        <v>4542</v>
      </c>
      <c r="E26" s="29" t="s">
        <v>4543</v>
      </c>
      <c r="F26" s="30"/>
      <c r="G26" s="29" t="s">
        <v>433</v>
      </c>
      <c r="H26" s="29" t="s">
        <v>4842</v>
      </c>
      <c r="I26" s="29" t="s">
        <v>234</v>
      </c>
      <c r="J26" s="29" t="s">
        <v>4843</v>
      </c>
      <c r="K26" s="29" t="s">
        <v>4844</v>
      </c>
      <c r="L26" s="30"/>
      <c r="M26" s="29" t="s">
        <v>4152</v>
      </c>
      <c r="N26" s="29"/>
      <c r="O26" s="29"/>
      <c r="P26" s="29" t="s">
        <v>4845</v>
      </c>
    </row>
    <row r="27">
      <c r="A27" s="28">
        <v>10497.0</v>
      </c>
      <c r="B27" s="29" t="s">
        <v>4550</v>
      </c>
      <c r="C27" s="29" t="s">
        <v>432</v>
      </c>
      <c r="D27" s="29" t="s">
        <v>4542</v>
      </c>
      <c r="E27" s="29" t="s">
        <v>4543</v>
      </c>
      <c r="F27" s="30"/>
      <c r="G27" s="29" t="s">
        <v>441</v>
      </c>
      <c r="H27" s="29" t="s">
        <v>1157</v>
      </c>
      <c r="I27" s="29" t="s">
        <v>234</v>
      </c>
      <c r="J27" s="30"/>
      <c r="K27" s="29" t="s">
        <v>3079</v>
      </c>
      <c r="L27" s="29" t="s">
        <v>4791</v>
      </c>
      <c r="M27" s="29" t="s">
        <v>4846</v>
      </c>
      <c r="N27" s="29"/>
      <c r="O27" s="29"/>
      <c r="P27" s="29" t="s">
        <v>4847</v>
      </c>
    </row>
    <row r="28">
      <c r="A28" s="28">
        <v>1196.0</v>
      </c>
      <c r="B28" s="29" t="s">
        <v>4848</v>
      </c>
      <c r="C28" s="29" t="s">
        <v>432</v>
      </c>
      <c r="D28" s="29" t="s">
        <v>4565</v>
      </c>
      <c r="E28" s="29" t="s">
        <v>4566</v>
      </c>
      <c r="F28" s="29" t="s">
        <v>441</v>
      </c>
      <c r="G28" s="29" t="s">
        <v>441</v>
      </c>
      <c r="H28" s="29" t="s">
        <v>1288</v>
      </c>
      <c r="I28" s="29" t="s">
        <v>41</v>
      </c>
      <c r="J28" s="30"/>
      <c r="K28" s="29" t="s">
        <v>4849</v>
      </c>
      <c r="L28" s="29" t="s">
        <v>489</v>
      </c>
      <c r="M28" s="29" t="s">
        <v>4850</v>
      </c>
      <c r="N28" s="29"/>
      <c r="O28" s="29"/>
      <c r="P28" s="29" t="s">
        <v>4851</v>
      </c>
    </row>
    <row r="29">
      <c r="A29" s="28">
        <v>1200.0</v>
      </c>
      <c r="B29" s="29" t="s">
        <v>4852</v>
      </c>
      <c r="C29" s="29" t="s">
        <v>449</v>
      </c>
      <c r="D29" s="29" t="s">
        <v>4565</v>
      </c>
      <c r="E29" s="29" t="s">
        <v>4566</v>
      </c>
      <c r="F29" s="30"/>
      <c r="G29" s="29" t="s">
        <v>433</v>
      </c>
      <c r="H29" s="29" t="s">
        <v>4853</v>
      </c>
      <c r="I29" s="29" t="s">
        <v>4854</v>
      </c>
      <c r="J29" s="30"/>
      <c r="K29" s="29" t="s">
        <v>4855</v>
      </c>
      <c r="L29" s="29" t="s">
        <v>4856</v>
      </c>
      <c r="M29" s="29" t="s">
        <v>4857</v>
      </c>
      <c r="N29" s="29"/>
      <c r="O29" s="29"/>
      <c r="P29" s="29" t="s">
        <v>4858</v>
      </c>
    </row>
    <row r="30">
      <c r="A30" s="28">
        <v>1207.0</v>
      </c>
      <c r="B30" s="29" t="s">
        <v>4859</v>
      </c>
      <c r="C30" s="29" t="s">
        <v>449</v>
      </c>
      <c r="D30" s="29" t="s">
        <v>4565</v>
      </c>
      <c r="E30" s="29" t="s">
        <v>4566</v>
      </c>
      <c r="F30" s="30"/>
      <c r="G30" s="29" t="s">
        <v>441</v>
      </c>
      <c r="H30" s="29" t="s">
        <v>1157</v>
      </c>
      <c r="I30" s="29" t="s">
        <v>4860</v>
      </c>
      <c r="J30" s="30"/>
      <c r="K30" s="29" t="s">
        <v>4861</v>
      </c>
      <c r="L30" s="29" t="s">
        <v>476</v>
      </c>
      <c r="M30" s="29" t="s">
        <v>4862</v>
      </c>
      <c r="N30" s="29"/>
      <c r="O30" s="29"/>
      <c r="P30" s="29" t="s">
        <v>4863</v>
      </c>
    </row>
    <row r="31">
      <c r="A31" s="28">
        <v>8566.0</v>
      </c>
      <c r="B31" s="29" t="s">
        <v>4864</v>
      </c>
      <c r="C31" s="29" t="s">
        <v>449</v>
      </c>
      <c r="D31" s="29" t="s">
        <v>4565</v>
      </c>
      <c r="E31" s="29" t="s">
        <v>4566</v>
      </c>
      <c r="F31" s="30"/>
      <c r="G31" s="29" t="s">
        <v>441</v>
      </c>
      <c r="H31" s="29" t="s">
        <v>4865</v>
      </c>
      <c r="I31" s="29" t="s">
        <v>4854</v>
      </c>
      <c r="J31" s="30"/>
      <c r="K31" s="29" t="s">
        <v>542</v>
      </c>
      <c r="L31" s="29" t="s">
        <v>476</v>
      </c>
      <c r="M31" s="29" t="s">
        <v>4866</v>
      </c>
      <c r="N31" s="29"/>
      <c r="O31" s="29"/>
      <c r="P31" s="29" t="s">
        <v>4867</v>
      </c>
    </row>
    <row r="32">
      <c r="A32" s="28">
        <v>8568.0</v>
      </c>
      <c r="B32" s="29" t="s">
        <v>4868</v>
      </c>
      <c r="C32" s="29" t="s">
        <v>449</v>
      </c>
      <c r="D32" s="29" t="s">
        <v>4565</v>
      </c>
      <c r="E32" s="29" t="s">
        <v>4566</v>
      </c>
      <c r="F32" s="30"/>
      <c r="G32" s="29" t="s">
        <v>441</v>
      </c>
      <c r="H32" s="29" t="s">
        <v>1309</v>
      </c>
      <c r="I32" s="29" t="s">
        <v>4869</v>
      </c>
      <c r="J32" s="30"/>
      <c r="K32" s="29" t="s">
        <v>542</v>
      </c>
      <c r="L32" s="29" t="s">
        <v>489</v>
      </c>
      <c r="M32" s="29" t="s">
        <v>4870</v>
      </c>
      <c r="N32" s="29"/>
      <c r="O32" s="29"/>
      <c r="P32" s="29" t="s">
        <v>4871</v>
      </c>
    </row>
    <row r="33">
      <c r="A33" s="28">
        <v>8569.0</v>
      </c>
      <c r="B33" s="29" t="s">
        <v>4872</v>
      </c>
      <c r="C33" s="29" t="s">
        <v>449</v>
      </c>
      <c r="D33" s="29" t="s">
        <v>4565</v>
      </c>
      <c r="E33" s="29" t="s">
        <v>4566</v>
      </c>
      <c r="F33" s="30"/>
      <c r="G33" s="29" t="s">
        <v>441</v>
      </c>
      <c r="H33" s="29" t="s">
        <v>469</v>
      </c>
      <c r="I33" s="29" t="s">
        <v>4854</v>
      </c>
      <c r="J33" s="30"/>
      <c r="K33" s="29" t="s">
        <v>493</v>
      </c>
      <c r="L33" s="29" t="s">
        <v>489</v>
      </c>
      <c r="M33" s="29" t="s">
        <v>4873</v>
      </c>
      <c r="N33" s="29"/>
      <c r="O33" s="29"/>
      <c r="P33" s="29" t="s">
        <v>4874</v>
      </c>
    </row>
    <row r="34">
      <c r="A34" s="28">
        <v>8570.0</v>
      </c>
      <c r="B34" s="29" t="s">
        <v>4875</v>
      </c>
      <c r="C34" s="29" t="s">
        <v>449</v>
      </c>
      <c r="D34" s="29" t="s">
        <v>4565</v>
      </c>
      <c r="E34" s="29" t="s">
        <v>4566</v>
      </c>
      <c r="F34" s="30"/>
      <c r="G34" s="29" t="s">
        <v>433</v>
      </c>
      <c r="H34" s="29" t="s">
        <v>1811</v>
      </c>
      <c r="I34" s="29" t="s">
        <v>4869</v>
      </c>
      <c r="J34" s="30"/>
      <c r="K34" s="29" t="s">
        <v>635</v>
      </c>
      <c r="L34" s="29" t="s">
        <v>4876</v>
      </c>
      <c r="M34" s="29" t="s">
        <v>4877</v>
      </c>
      <c r="N34" s="29"/>
      <c r="O34" s="29"/>
      <c r="P34" s="29" t="s">
        <v>4878</v>
      </c>
    </row>
    <row r="35">
      <c r="A35" s="28">
        <v>8571.0</v>
      </c>
      <c r="B35" s="29" t="s">
        <v>4879</v>
      </c>
      <c r="C35" s="29" t="s">
        <v>449</v>
      </c>
      <c r="D35" s="29" t="s">
        <v>4565</v>
      </c>
      <c r="E35" s="29" t="s">
        <v>4566</v>
      </c>
      <c r="F35" s="30"/>
      <c r="G35" s="29" t="s">
        <v>450</v>
      </c>
      <c r="H35" s="29" t="s">
        <v>692</v>
      </c>
      <c r="I35" s="29" t="s">
        <v>4854</v>
      </c>
      <c r="J35" s="30"/>
      <c r="K35" s="29" t="s">
        <v>1881</v>
      </c>
      <c r="L35" s="29" t="s">
        <v>4880</v>
      </c>
      <c r="M35" s="29" t="s">
        <v>4881</v>
      </c>
      <c r="N35" s="29"/>
      <c r="O35" s="29"/>
      <c r="P35" s="29" t="s">
        <v>4882</v>
      </c>
    </row>
    <row r="36">
      <c r="A36" s="28">
        <v>9369.0</v>
      </c>
      <c r="B36" s="29" t="s">
        <v>4628</v>
      </c>
      <c r="C36" s="29" t="s">
        <v>432</v>
      </c>
      <c r="D36" s="29" t="s">
        <v>4565</v>
      </c>
      <c r="E36" s="29" t="s">
        <v>4566</v>
      </c>
      <c r="F36" s="30"/>
      <c r="G36" s="29" t="s">
        <v>441</v>
      </c>
      <c r="H36" s="29" t="s">
        <v>1745</v>
      </c>
      <c r="I36" s="29" t="s">
        <v>234</v>
      </c>
      <c r="J36" s="30"/>
      <c r="K36" s="29" t="s">
        <v>4883</v>
      </c>
      <c r="L36" s="29" t="s">
        <v>4884</v>
      </c>
      <c r="M36" s="29" t="s">
        <v>4885</v>
      </c>
      <c r="N36" s="29"/>
      <c r="O36" s="29"/>
      <c r="P36" s="29" t="s">
        <v>4886</v>
      </c>
    </row>
    <row r="37">
      <c r="A37" s="28">
        <v>9519.0</v>
      </c>
      <c r="B37" s="29" t="s">
        <v>4887</v>
      </c>
      <c r="C37" s="29" t="s">
        <v>449</v>
      </c>
      <c r="D37" s="29" t="s">
        <v>4565</v>
      </c>
      <c r="E37" s="29" t="s">
        <v>4566</v>
      </c>
      <c r="F37" s="30"/>
      <c r="G37" s="29" t="s">
        <v>433</v>
      </c>
      <c r="H37" s="29" t="s">
        <v>469</v>
      </c>
      <c r="I37" s="29" t="s">
        <v>4854</v>
      </c>
      <c r="J37" s="30"/>
      <c r="K37" s="29" t="s">
        <v>4888</v>
      </c>
      <c r="L37" s="29" t="s">
        <v>511</v>
      </c>
      <c r="M37" s="29" t="s">
        <v>4889</v>
      </c>
      <c r="N37" s="29"/>
      <c r="O37" s="29"/>
      <c r="P37" s="29" t="s">
        <v>4890</v>
      </c>
    </row>
    <row r="38">
      <c r="A38" s="28">
        <v>9520.0</v>
      </c>
      <c r="B38" s="29" t="s">
        <v>4891</v>
      </c>
      <c r="C38" s="29" t="s">
        <v>449</v>
      </c>
      <c r="D38" s="29" t="s">
        <v>4565</v>
      </c>
      <c r="E38" s="29" t="s">
        <v>4566</v>
      </c>
      <c r="F38" s="30"/>
      <c r="G38" s="29" t="s">
        <v>441</v>
      </c>
      <c r="H38" s="29" t="s">
        <v>4892</v>
      </c>
      <c r="I38" s="29" t="s">
        <v>4854</v>
      </c>
      <c r="J38" s="30"/>
      <c r="K38" s="29" t="s">
        <v>4893</v>
      </c>
      <c r="L38" s="29" t="s">
        <v>511</v>
      </c>
      <c r="M38" s="29" t="s">
        <v>4894</v>
      </c>
      <c r="N38" s="29"/>
      <c r="O38" s="29"/>
      <c r="P38" s="29" t="s">
        <v>4895</v>
      </c>
    </row>
    <row r="39">
      <c r="A39" s="28">
        <v>9635.0</v>
      </c>
      <c r="B39" s="29" t="s">
        <v>4896</v>
      </c>
      <c r="C39" s="29" t="s">
        <v>449</v>
      </c>
      <c r="D39" s="29" t="s">
        <v>4565</v>
      </c>
      <c r="E39" s="29" t="s">
        <v>4566</v>
      </c>
      <c r="F39" s="30"/>
      <c r="G39" s="29" t="s">
        <v>441</v>
      </c>
      <c r="H39" s="29" t="s">
        <v>4897</v>
      </c>
      <c r="I39" s="29" t="s">
        <v>4898</v>
      </c>
      <c r="J39" s="30"/>
      <c r="K39" s="29" t="s">
        <v>4899</v>
      </c>
      <c r="L39" s="29" t="s">
        <v>511</v>
      </c>
      <c r="M39" s="29" t="s">
        <v>4900</v>
      </c>
      <c r="N39" s="29"/>
      <c r="O39" s="29"/>
      <c r="P39" s="29" t="s">
        <v>4901</v>
      </c>
    </row>
    <row r="40">
      <c r="A40" s="28">
        <v>9693.0</v>
      </c>
      <c r="B40" s="29" t="s">
        <v>4902</v>
      </c>
      <c r="C40" s="29" t="s">
        <v>432</v>
      </c>
      <c r="D40" s="29" t="s">
        <v>4565</v>
      </c>
      <c r="E40" s="29" t="s">
        <v>4566</v>
      </c>
      <c r="F40" s="30"/>
      <c r="G40" s="29" t="s">
        <v>441</v>
      </c>
      <c r="H40" s="29" t="s">
        <v>434</v>
      </c>
      <c r="I40" s="29" t="s">
        <v>144</v>
      </c>
      <c r="J40" s="30"/>
      <c r="K40" s="29" t="s">
        <v>4903</v>
      </c>
      <c r="L40" s="29" t="s">
        <v>476</v>
      </c>
      <c r="M40" s="29" t="s">
        <v>4904</v>
      </c>
      <c r="N40" s="29"/>
      <c r="O40" s="29"/>
      <c r="P40" s="29" t="s">
        <v>4905</v>
      </c>
    </row>
    <row r="41">
      <c r="A41" s="28">
        <v>9694.0</v>
      </c>
      <c r="B41" s="29" t="s">
        <v>4906</v>
      </c>
      <c r="C41" s="29" t="s">
        <v>449</v>
      </c>
      <c r="D41" s="29" t="s">
        <v>4565</v>
      </c>
      <c r="E41" s="29" t="s">
        <v>4566</v>
      </c>
      <c r="F41" s="30"/>
      <c r="G41" s="29" t="s">
        <v>441</v>
      </c>
      <c r="H41" s="29" t="s">
        <v>4907</v>
      </c>
      <c r="I41" s="29" t="s">
        <v>4860</v>
      </c>
      <c r="J41" s="30"/>
      <c r="K41" s="29" t="s">
        <v>4908</v>
      </c>
      <c r="L41" s="29" t="s">
        <v>4909</v>
      </c>
      <c r="M41" s="29" t="s">
        <v>4910</v>
      </c>
      <c r="N41" s="29"/>
      <c r="O41" s="29"/>
      <c r="P41" s="29" t="s">
        <v>4911</v>
      </c>
    </row>
    <row r="42">
      <c r="A42" s="28">
        <v>9987.0</v>
      </c>
      <c r="B42" s="29" t="s">
        <v>4912</v>
      </c>
      <c r="C42" s="29" t="s">
        <v>432</v>
      </c>
      <c r="D42" s="29" t="s">
        <v>4565</v>
      </c>
      <c r="E42" s="29" t="s">
        <v>4566</v>
      </c>
      <c r="F42" s="30"/>
      <c r="G42" s="29" t="s">
        <v>433</v>
      </c>
      <c r="H42" s="29" t="s">
        <v>634</v>
      </c>
      <c r="I42" s="29" t="s">
        <v>1741</v>
      </c>
      <c r="J42" s="30"/>
      <c r="K42" s="29" t="s">
        <v>4893</v>
      </c>
      <c r="L42" s="29" t="s">
        <v>4893</v>
      </c>
      <c r="M42" s="29" t="s">
        <v>4913</v>
      </c>
      <c r="N42" s="29"/>
      <c r="O42" s="29"/>
      <c r="P42" s="29" t="s">
        <v>4914</v>
      </c>
    </row>
    <row r="43">
      <c r="A43" s="28">
        <v>10389.0</v>
      </c>
      <c r="B43" s="29" t="s">
        <v>4915</v>
      </c>
      <c r="C43" s="29" t="s">
        <v>432</v>
      </c>
      <c r="D43" s="29" t="s">
        <v>4565</v>
      </c>
      <c r="E43" s="29" t="s">
        <v>4566</v>
      </c>
      <c r="F43" s="30"/>
      <c r="G43" s="29" t="s">
        <v>433</v>
      </c>
      <c r="H43" s="29" t="s">
        <v>4916</v>
      </c>
      <c r="I43" s="29" t="s">
        <v>144</v>
      </c>
      <c r="J43" s="30"/>
      <c r="K43" s="29" t="s">
        <v>4917</v>
      </c>
      <c r="L43" s="29" t="s">
        <v>4918</v>
      </c>
      <c r="M43" s="29" t="s">
        <v>4919</v>
      </c>
      <c r="N43" s="29"/>
      <c r="O43" s="29"/>
      <c r="P43" s="29" t="s">
        <v>4920</v>
      </c>
    </row>
    <row r="44">
      <c r="A44" s="28">
        <v>1220.0</v>
      </c>
      <c r="B44" s="29" t="s">
        <v>4921</v>
      </c>
      <c r="C44" s="29" t="s">
        <v>449</v>
      </c>
      <c r="D44" s="29" t="s">
        <v>4686</v>
      </c>
      <c r="E44" s="29" t="s">
        <v>4687</v>
      </c>
      <c r="F44" s="29" t="s">
        <v>433</v>
      </c>
      <c r="G44" s="29" t="s">
        <v>433</v>
      </c>
      <c r="H44" s="29" t="s">
        <v>597</v>
      </c>
      <c r="I44" s="29" t="s">
        <v>41</v>
      </c>
      <c r="J44" s="30"/>
      <c r="K44" s="29" t="s">
        <v>4922</v>
      </c>
      <c r="L44" s="29" t="s">
        <v>4923</v>
      </c>
      <c r="M44" s="29" t="s">
        <v>4924</v>
      </c>
      <c r="N44" s="29"/>
      <c r="O44" s="29"/>
      <c r="P44" s="29" t="s">
        <v>4925</v>
      </c>
    </row>
    <row r="45">
      <c r="A45" s="28">
        <v>1223.0</v>
      </c>
      <c r="B45" s="29" t="s">
        <v>4926</v>
      </c>
      <c r="C45" s="29" t="s">
        <v>449</v>
      </c>
      <c r="D45" s="29" t="s">
        <v>4686</v>
      </c>
      <c r="E45" s="29" t="s">
        <v>4687</v>
      </c>
      <c r="F45" s="30"/>
      <c r="G45" s="29" t="s">
        <v>441</v>
      </c>
      <c r="H45" s="29" t="s">
        <v>482</v>
      </c>
      <c r="I45" s="29" t="s">
        <v>41</v>
      </c>
      <c r="J45" s="30"/>
      <c r="K45" s="29" t="s">
        <v>4927</v>
      </c>
      <c r="L45" s="29" t="s">
        <v>476</v>
      </c>
      <c r="M45" s="29" t="s">
        <v>4928</v>
      </c>
      <c r="N45" s="29"/>
      <c r="O45" s="29"/>
      <c r="P45" s="29" t="s">
        <v>4929</v>
      </c>
    </row>
    <row r="46">
      <c r="A46" s="28">
        <v>1224.0</v>
      </c>
      <c r="B46" s="29" t="s">
        <v>4930</v>
      </c>
      <c r="C46" s="29" t="s">
        <v>449</v>
      </c>
      <c r="D46" s="29" t="s">
        <v>4686</v>
      </c>
      <c r="E46" s="29" t="s">
        <v>4687</v>
      </c>
      <c r="F46" s="30"/>
      <c r="G46" s="29" t="s">
        <v>450</v>
      </c>
      <c r="H46" s="29" t="s">
        <v>4931</v>
      </c>
      <c r="I46" s="29" t="s">
        <v>41</v>
      </c>
      <c r="J46" s="30"/>
      <c r="K46" s="29" t="s">
        <v>2527</v>
      </c>
      <c r="L46" s="29" t="s">
        <v>3581</v>
      </c>
      <c r="M46" s="29" t="s">
        <v>4932</v>
      </c>
      <c r="N46" s="29"/>
      <c r="O46" s="29"/>
      <c r="P46" s="29" t="s">
        <v>4933</v>
      </c>
    </row>
    <row r="47">
      <c r="A47" s="28">
        <v>1226.0</v>
      </c>
      <c r="B47" s="29" t="s">
        <v>4934</v>
      </c>
      <c r="C47" s="29" t="s">
        <v>449</v>
      </c>
      <c r="D47" s="29" t="s">
        <v>4686</v>
      </c>
      <c r="E47" s="29" t="s">
        <v>4687</v>
      </c>
      <c r="F47" s="30"/>
      <c r="G47" s="29" t="s">
        <v>441</v>
      </c>
      <c r="H47" s="29" t="s">
        <v>482</v>
      </c>
      <c r="I47" s="29" t="s">
        <v>41</v>
      </c>
      <c r="J47" s="30"/>
      <c r="K47" s="29" t="s">
        <v>542</v>
      </c>
      <c r="L47" s="29" t="s">
        <v>445</v>
      </c>
      <c r="M47" s="29" t="s">
        <v>497</v>
      </c>
      <c r="N47" s="29"/>
      <c r="O47" s="29"/>
      <c r="P47" s="29" t="s">
        <v>4935</v>
      </c>
    </row>
    <row r="48">
      <c r="A48" s="28">
        <v>1227.0</v>
      </c>
      <c r="B48" s="29" t="s">
        <v>4936</v>
      </c>
      <c r="C48" s="29" t="s">
        <v>449</v>
      </c>
      <c r="D48" s="29" t="s">
        <v>4686</v>
      </c>
      <c r="E48" s="29" t="s">
        <v>4687</v>
      </c>
      <c r="F48" s="30"/>
      <c r="G48" s="29" t="s">
        <v>450</v>
      </c>
      <c r="H48" s="29" t="s">
        <v>1740</v>
      </c>
      <c r="I48" s="29" t="s">
        <v>41</v>
      </c>
      <c r="J48" s="30"/>
      <c r="K48" s="29" t="s">
        <v>4937</v>
      </c>
      <c r="L48" s="29" t="s">
        <v>538</v>
      </c>
      <c r="M48" s="29" t="s">
        <v>4938</v>
      </c>
      <c r="N48" s="29"/>
      <c r="O48" s="29"/>
      <c r="P48" s="29" t="s">
        <v>4939</v>
      </c>
    </row>
    <row r="49">
      <c r="A49" s="28">
        <v>9483.0</v>
      </c>
      <c r="B49" s="29" t="s">
        <v>4940</v>
      </c>
      <c r="C49" s="29" t="s">
        <v>449</v>
      </c>
      <c r="D49" s="29" t="s">
        <v>4686</v>
      </c>
      <c r="E49" s="29" t="s">
        <v>4687</v>
      </c>
      <c r="F49" s="30"/>
      <c r="G49" s="29" t="s">
        <v>441</v>
      </c>
      <c r="H49" s="29" t="s">
        <v>4941</v>
      </c>
      <c r="I49" s="29" t="s">
        <v>452</v>
      </c>
      <c r="J49" s="30"/>
      <c r="K49" s="29" t="s">
        <v>4942</v>
      </c>
      <c r="L49" s="29" t="s">
        <v>4943</v>
      </c>
      <c r="M49" s="29" t="s">
        <v>4944</v>
      </c>
      <c r="N49" s="29"/>
      <c r="O49" s="29"/>
      <c r="P49" s="29" t="s">
        <v>4945</v>
      </c>
    </row>
    <row r="50">
      <c r="A50" s="28">
        <v>10498.0</v>
      </c>
      <c r="B50" s="29" t="s">
        <v>4946</v>
      </c>
      <c r="C50" s="29" t="s">
        <v>432</v>
      </c>
      <c r="D50" s="29" t="s">
        <v>4686</v>
      </c>
      <c r="E50" s="29" t="s">
        <v>4687</v>
      </c>
      <c r="F50" s="30"/>
      <c r="G50" s="29" t="s">
        <v>441</v>
      </c>
      <c r="H50" s="29" t="s">
        <v>1157</v>
      </c>
      <c r="I50" s="29" t="s">
        <v>234</v>
      </c>
      <c r="J50" s="30"/>
      <c r="K50" s="29" t="s">
        <v>4947</v>
      </c>
      <c r="L50" s="29" t="s">
        <v>575</v>
      </c>
      <c r="M50" s="29" t="s">
        <v>1893</v>
      </c>
      <c r="N50" s="29"/>
      <c r="O50" s="29"/>
      <c r="P50" s="29" t="s">
        <v>4948</v>
      </c>
    </row>
    <row r="51">
      <c r="A51" s="28">
        <v>1229.0</v>
      </c>
      <c r="B51" s="29" t="s">
        <v>4949</v>
      </c>
      <c r="C51" s="29" t="s">
        <v>432</v>
      </c>
      <c r="D51" s="29" t="s">
        <v>1324</v>
      </c>
      <c r="E51" s="29" t="s">
        <v>1325</v>
      </c>
      <c r="F51" s="29" t="s">
        <v>433</v>
      </c>
      <c r="G51" s="29" t="s">
        <v>433</v>
      </c>
      <c r="H51" s="29" t="s">
        <v>526</v>
      </c>
      <c r="I51" s="29" t="s">
        <v>234</v>
      </c>
      <c r="J51" s="29" t="s">
        <v>4950</v>
      </c>
      <c r="K51" s="29" t="s">
        <v>635</v>
      </c>
      <c r="L51" s="29" t="s">
        <v>489</v>
      </c>
      <c r="M51" s="29" t="s">
        <v>2493</v>
      </c>
      <c r="N51" s="29"/>
      <c r="O51" s="29"/>
      <c r="P51" s="29" t="s">
        <v>4951</v>
      </c>
    </row>
    <row r="52">
      <c r="A52" s="28"/>
      <c r="B52" s="29"/>
      <c r="C52" s="29"/>
      <c r="D52" s="29"/>
      <c r="E52" s="29"/>
      <c r="F52" s="30"/>
      <c r="G52" s="29"/>
      <c r="H52" s="29"/>
      <c r="I52" s="29"/>
      <c r="J52" s="30"/>
      <c r="K52" s="29"/>
      <c r="L52" s="29"/>
      <c r="M52" s="29"/>
      <c r="N52" s="29"/>
      <c r="O52" s="29"/>
      <c r="P52" s="29"/>
    </row>
    <row r="53">
      <c r="A53" s="28"/>
      <c r="B53" s="29"/>
      <c r="C53" s="29"/>
      <c r="D53" s="29"/>
      <c r="E53" s="29"/>
      <c r="F53" s="30"/>
      <c r="G53" s="29"/>
      <c r="H53" s="29"/>
      <c r="I53" s="29"/>
      <c r="J53" s="30"/>
      <c r="K53" s="29"/>
      <c r="L53" s="29"/>
      <c r="M53" s="29"/>
      <c r="N53" s="29"/>
      <c r="O53" s="29"/>
      <c r="P53" s="29"/>
    </row>
    <row r="54">
      <c r="A54" s="28"/>
      <c r="B54" s="29"/>
      <c r="C54" s="29"/>
      <c r="D54" s="29"/>
      <c r="E54" s="29"/>
      <c r="F54" s="30"/>
      <c r="G54" s="29"/>
      <c r="H54" s="29"/>
      <c r="I54" s="29"/>
      <c r="J54" s="30"/>
      <c r="K54" s="29"/>
      <c r="L54" s="29"/>
      <c r="M54" s="29"/>
      <c r="N54" s="29"/>
      <c r="O54" s="29"/>
      <c r="P54" s="29"/>
    </row>
    <row r="55">
      <c r="A55" s="28"/>
      <c r="B55" s="29"/>
      <c r="C55" s="29"/>
      <c r="D55" s="29"/>
      <c r="E55" s="29"/>
      <c r="F55" s="29"/>
      <c r="G55" s="29"/>
      <c r="H55" s="29"/>
      <c r="I55" s="29"/>
      <c r="J55" s="29"/>
      <c r="K55" s="29"/>
      <c r="L55" s="29"/>
      <c r="M55" s="29"/>
      <c r="N55" s="29"/>
      <c r="O55" s="29"/>
      <c r="P55" s="29"/>
    </row>
    <row r="56">
      <c r="A56" s="28"/>
      <c r="B56" s="29"/>
      <c r="C56" s="29"/>
      <c r="D56" s="29"/>
      <c r="E56" s="29"/>
      <c r="F56" s="30"/>
      <c r="G56" s="29"/>
      <c r="H56" s="29"/>
      <c r="I56" s="29"/>
      <c r="J56" s="30"/>
      <c r="K56" s="30"/>
      <c r="L56" s="29"/>
      <c r="M56" s="29"/>
      <c r="N56" s="29"/>
      <c r="O56" s="29"/>
      <c r="P56" s="29"/>
    </row>
    <row r="57">
      <c r="A57" s="28"/>
      <c r="B57" s="29"/>
      <c r="C57" s="29"/>
      <c r="D57" s="29"/>
      <c r="E57" s="29"/>
      <c r="F57" s="30"/>
      <c r="G57" s="29"/>
      <c r="H57" s="29"/>
      <c r="I57" s="29"/>
      <c r="J57" s="30"/>
      <c r="K57" s="29"/>
      <c r="L57" s="29"/>
      <c r="M57" s="29"/>
      <c r="N57" s="29"/>
      <c r="O57" s="29"/>
      <c r="P57" s="29"/>
    </row>
    <row r="58">
      <c r="A58" s="28"/>
      <c r="B58" s="29"/>
      <c r="C58" s="29"/>
      <c r="D58" s="29"/>
      <c r="E58" s="29"/>
      <c r="F58" s="30"/>
      <c r="G58" s="29"/>
      <c r="H58" s="29"/>
      <c r="I58" s="29"/>
      <c r="J58" s="30"/>
      <c r="K58" s="29"/>
      <c r="L58" s="29"/>
      <c r="M58" s="29"/>
      <c r="N58" s="29"/>
      <c r="O58" s="29"/>
      <c r="P58" s="29"/>
    </row>
    <row r="59">
      <c r="A59" s="28"/>
      <c r="B59" s="29"/>
      <c r="C59" s="29"/>
      <c r="D59" s="29"/>
      <c r="E59" s="29"/>
      <c r="F59" s="30"/>
      <c r="G59" s="29"/>
      <c r="H59" s="29"/>
      <c r="I59" s="29"/>
      <c r="J59" s="30"/>
      <c r="K59" s="29"/>
      <c r="L59" s="29"/>
      <c r="M59" s="29"/>
      <c r="N59" s="29"/>
      <c r="O59" s="29"/>
      <c r="P59" s="29"/>
    </row>
    <row r="60">
      <c r="A60" s="28"/>
      <c r="B60" s="29"/>
      <c r="C60" s="29"/>
      <c r="D60" s="29"/>
      <c r="E60" s="29"/>
      <c r="F60" s="30"/>
      <c r="G60" s="29"/>
      <c r="H60" s="29"/>
      <c r="I60" s="29"/>
      <c r="J60" s="30"/>
      <c r="K60" s="29"/>
      <c r="L60" s="29"/>
      <c r="M60" s="29"/>
      <c r="N60" s="29"/>
      <c r="O60" s="29"/>
      <c r="P60" s="29"/>
    </row>
    <row r="61">
      <c r="A61" s="28"/>
      <c r="B61" s="29"/>
      <c r="C61" s="29"/>
      <c r="D61" s="29"/>
      <c r="E61" s="29"/>
      <c r="F61" s="30"/>
      <c r="G61" s="29"/>
      <c r="H61" s="29"/>
      <c r="I61" s="29"/>
      <c r="J61" s="30"/>
      <c r="K61" s="30"/>
      <c r="L61" s="29"/>
      <c r="M61" s="29"/>
      <c r="N61" s="29"/>
      <c r="O61" s="29"/>
      <c r="P61" s="29"/>
    </row>
    <row r="62">
      <c r="A62" s="28"/>
      <c r="B62" s="29"/>
      <c r="C62" s="29"/>
      <c r="D62" s="29"/>
      <c r="E62" s="29"/>
      <c r="F62" s="30"/>
      <c r="G62" s="29"/>
      <c r="H62" s="29"/>
      <c r="I62" s="29"/>
      <c r="J62" s="30"/>
      <c r="K62" s="29"/>
      <c r="L62" s="29"/>
      <c r="M62" s="29"/>
      <c r="N62" s="29"/>
      <c r="O62" s="29"/>
      <c r="P62" s="29"/>
    </row>
    <row r="63">
      <c r="A63" s="28"/>
      <c r="B63" s="29"/>
      <c r="C63" s="29"/>
      <c r="D63" s="29"/>
      <c r="E63" s="29"/>
      <c r="F63" s="30"/>
      <c r="G63" s="29"/>
      <c r="H63" s="29"/>
      <c r="I63" s="29"/>
      <c r="J63" s="30"/>
      <c r="K63" s="29"/>
      <c r="L63" s="29"/>
      <c r="M63" s="29"/>
      <c r="N63" s="29"/>
      <c r="O63" s="29"/>
      <c r="P63" s="29"/>
    </row>
    <row r="64">
      <c r="A64" s="28"/>
      <c r="B64" s="29"/>
      <c r="C64" s="29"/>
      <c r="D64" s="29"/>
      <c r="E64" s="29"/>
      <c r="F64" s="30"/>
      <c r="G64" s="29"/>
      <c r="H64" s="29"/>
      <c r="I64" s="29"/>
      <c r="J64" s="30"/>
      <c r="K64" s="29"/>
      <c r="L64" s="29"/>
      <c r="M64" s="29"/>
      <c r="N64" s="29"/>
      <c r="O64" s="29"/>
      <c r="P64" s="29"/>
    </row>
    <row r="65">
      <c r="A65" s="28"/>
      <c r="B65" s="29"/>
      <c r="C65" s="29"/>
      <c r="D65" s="29"/>
      <c r="E65" s="29"/>
      <c r="F65" s="30"/>
      <c r="G65" s="29"/>
      <c r="H65" s="29"/>
      <c r="I65" s="29"/>
      <c r="J65" s="30"/>
      <c r="K65" s="30"/>
      <c r="L65" s="29"/>
      <c r="M65" s="29"/>
      <c r="N65" s="29"/>
      <c r="O65" s="29"/>
      <c r="P65" s="29"/>
    </row>
    <row r="66">
      <c r="A66" s="28"/>
      <c r="B66" s="29"/>
      <c r="C66" s="29"/>
      <c r="D66" s="29"/>
      <c r="E66" s="29"/>
      <c r="F66" s="30"/>
      <c r="G66" s="29"/>
      <c r="H66" s="29"/>
      <c r="I66" s="29"/>
      <c r="J66" s="30"/>
      <c r="K66" s="30"/>
      <c r="L66" s="29"/>
      <c r="M66" s="29"/>
      <c r="N66" s="29"/>
      <c r="O66" s="29"/>
      <c r="P66" s="29"/>
    </row>
    <row r="67">
      <c r="A67" s="28"/>
      <c r="B67" s="29"/>
      <c r="C67" s="29"/>
      <c r="D67" s="29"/>
      <c r="E67" s="29"/>
      <c r="F67" s="30"/>
      <c r="G67" s="29"/>
      <c r="H67" s="29"/>
      <c r="I67" s="29"/>
      <c r="J67" s="30"/>
      <c r="K67" s="29"/>
      <c r="L67" s="29"/>
      <c r="M67" s="29"/>
      <c r="N67" s="29"/>
      <c r="O67" s="29"/>
      <c r="P67" s="29"/>
    </row>
    <row r="68">
      <c r="A68" s="28"/>
      <c r="B68" s="29"/>
      <c r="C68" s="29"/>
      <c r="D68" s="29"/>
      <c r="E68" s="29"/>
      <c r="F68" s="30"/>
      <c r="G68" s="29"/>
      <c r="H68" s="29"/>
      <c r="I68" s="29"/>
      <c r="J68" s="30"/>
      <c r="K68" s="30"/>
      <c r="L68" s="29"/>
      <c r="M68" s="29"/>
      <c r="N68" s="29"/>
      <c r="O68" s="29"/>
      <c r="P68" s="29"/>
    </row>
    <row r="69">
      <c r="A69" s="28"/>
      <c r="B69" s="29"/>
      <c r="C69" s="29"/>
      <c r="D69" s="29"/>
      <c r="E69" s="29"/>
      <c r="F69" s="29"/>
      <c r="G69" s="29"/>
      <c r="H69" s="29"/>
      <c r="I69" s="29"/>
      <c r="J69" s="29"/>
      <c r="K69" s="29"/>
      <c r="L69" s="30"/>
      <c r="M69" s="29"/>
      <c r="N69" s="29"/>
      <c r="O69" s="29"/>
      <c r="P69" s="29"/>
    </row>
    <row r="70">
      <c r="A70" s="28"/>
      <c r="B70" s="29"/>
      <c r="C70" s="29"/>
      <c r="D70" s="29"/>
      <c r="E70" s="29"/>
      <c r="F70" s="30"/>
      <c r="G70" s="29"/>
      <c r="H70" s="29"/>
      <c r="I70" s="29"/>
      <c r="J70" s="30"/>
      <c r="K70" s="29"/>
      <c r="L70" s="29"/>
      <c r="M70" s="29"/>
      <c r="N70" s="29"/>
      <c r="O70" s="29"/>
      <c r="P70" s="29"/>
    </row>
    <row r="71">
      <c r="A71" s="28"/>
      <c r="B71" s="29"/>
      <c r="C71" s="29"/>
      <c r="D71" s="29"/>
      <c r="E71" s="29"/>
      <c r="F71" s="30"/>
      <c r="G71" s="29"/>
      <c r="H71" s="29"/>
      <c r="I71" s="29"/>
      <c r="J71" s="30"/>
      <c r="K71" s="29"/>
      <c r="L71" s="29"/>
      <c r="M71" s="29"/>
      <c r="N71" s="29"/>
      <c r="O71" s="29"/>
      <c r="P71" s="29"/>
    </row>
    <row r="72">
      <c r="A72" s="28"/>
      <c r="B72" s="29"/>
      <c r="C72" s="29"/>
      <c r="D72" s="29"/>
      <c r="E72" s="29"/>
      <c r="F72" s="30"/>
      <c r="G72" s="29"/>
      <c r="H72" s="29"/>
      <c r="I72" s="29"/>
      <c r="J72" s="30"/>
      <c r="K72" s="29"/>
      <c r="L72" s="29"/>
      <c r="M72" s="29"/>
      <c r="N72" s="29"/>
      <c r="O72" s="29"/>
      <c r="P72" s="29"/>
    </row>
    <row r="73">
      <c r="A73" s="28"/>
      <c r="B73" s="29"/>
      <c r="C73" s="29"/>
      <c r="D73" s="29"/>
      <c r="E73" s="29"/>
      <c r="F73" s="29"/>
      <c r="G73" s="29"/>
      <c r="H73" s="29"/>
      <c r="I73" s="29"/>
      <c r="J73" s="30"/>
      <c r="K73" s="29"/>
      <c r="L73" s="30"/>
      <c r="M73" s="29"/>
      <c r="N73" s="29"/>
      <c r="O73" s="29"/>
      <c r="P73" s="29"/>
    </row>
    <row r="74">
      <c r="A74" s="28"/>
      <c r="B74" s="29"/>
      <c r="C74" s="29"/>
      <c r="D74" s="29"/>
      <c r="E74" s="29"/>
      <c r="F74" s="30"/>
      <c r="G74" s="29"/>
      <c r="H74" s="29"/>
      <c r="I74" s="29"/>
      <c r="J74" s="29"/>
      <c r="K74" s="29"/>
      <c r="L74" s="29"/>
      <c r="M74" s="29"/>
      <c r="N74" s="29"/>
      <c r="O74" s="29"/>
      <c r="P74" s="29"/>
    </row>
    <row r="75">
      <c r="A75" s="28"/>
      <c r="B75" s="29"/>
      <c r="C75" s="29"/>
      <c r="D75" s="29"/>
      <c r="E75" s="29"/>
      <c r="F75" s="30"/>
      <c r="G75" s="29"/>
      <c r="H75" s="29"/>
      <c r="I75" s="29"/>
      <c r="J75" s="30"/>
      <c r="K75" s="29"/>
      <c r="L75" s="29"/>
      <c r="M75" s="29"/>
      <c r="N75" s="29"/>
      <c r="O75" s="29"/>
      <c r="P75" s="29"/>
    </row>
    <row r="76">
      <c r="A76" s="28"/>
      <c r="B76" s="29"/>
      <c r="C76" s="29"/>
      <c r="D76" s="29"/>
      <c r="E76" s="29"/>
      <c r="F76" s="30"/>
      <c r="G76" s="29"/>
      <c r="H76" s="29"/>
      <c r="I76" s="29"/>
      <c r="J76" s="30"/>
      <c r="K76" s="29"/>
      <c r="L76" s="29"/>
      <c r="M76" s="29"/>
      <c r="N76" s="29"/>
      <c r="O76" s="29"/>
      <c r="P76" s="29"/>
    </row>
    <row r="77">
      <c r="A77" s="28"/>
      <c r="B77" s="29"/>
      <c r="C77" s="29"/>
      <c r="D77" s="29"/>
      <c r="E77" s="29"/>
      <c r="F77" s="30"/>
      <c r="G77" s="29"/>
      <c r="H77" s="29"/>
      <c r="I77" s="29"/>
      <c r="J77" s="30"/>
      <c r="K77" s="29"/>
      <c r="L77" s="29"/>
      <c r="M77" s="29"/>
      <c r="N77" s="29"/>
      <c r="O77" s="29"/>
      <c r="P77" s="29"/>
    </row>
    <row r="78">
      <c r="A78" s="28"/>
      <c r="B78" s="29"/>
      <c r="C78" s="29"/>
      <c r="D78" s="29"/>
      <c r="E78" s="29"/>
      <c r="F78" s="30"/>
      <c r="G78" s="29"/>
      <c r="H78" s="29"/>
      <c r="I78" s="29"/>
      <c r="J78" s="30"/>
      <c r="K78" s="29"/>
      <c r="L78" s="29"/>
      <c r="M78" s="29"/>
      <c r="N78" s="29"/>
      <c r="O78" s="29"/>
      <c r="P78" s="29"/>
    </row>
    <row r="79">
      <c r="A79" s="28"/>
      <c r="B79" s="29"/>
      <c r="C79" s="29"/>
      <c r="D79" s="29"/>
      <c r="E79" s="29"/>
      <c r="F79" s="29"/>
      <c r="G79" s="29"/>
      <c r="H79" s="29"/>
      <c r="I79" s="29"/>
      <c r="J79" s="29"/>
      <c r="K79" s="29"/>
      <c r="L79" s="29"/>
      <c r="M79" s="29"/>
      <c r="N79" s="29"/>
      <c r="O79" s="29"/>
      <c r="P79" s="29"/>
    </row>
    <row r="80">
      <c r="A80" s="28"/>
      <c r="B80" s="29"/>
      <c r="C80" s="29"/>
      <c r="D80" s="29"/>
      <c r="E80" s="29"/>
      <c r="F80" s="30"/>
      <c r="G80" s="29"/>
      <c r="H80" s="29"/>
      <c r="I80" s="29"/>
      <c r="J80" s="30"/>
      <c r="K80" s="29"/>
      <c r="L80" s="29"/>
      <c r="M80" s="29"/>
      <c r="N80" s="29"/>
      <c r="O80" s="29"/>
      <c r="P80" s="29"/>
    </row>
    <row r="81">
      <c r="A81" s="28"/>
      <c r="B81" s="29"/>
      <c r="C81" s="29"/>
      <c r="D81" s="29"/>
      <c r="E81" s="29"/>
      <c r="F81" s="30"/>
      <c r="G81" s="29"/>
      <c r="H81" s="29"/>
      <c r="I81" s="29"/>
      <c r="J81" s="29"/>
      <c r="K81" s="29"/>
      <c r="L81" s="29"/>
      <c r="M81" s="29"/>
      <c r="N81" s="29"/>
      <c r="O81" s="29"/>
      <c r="P81" s="29"/>
    </row>
    <row r="82">
      <c r="A82" s="28"/>
      <c r="B82" s="29"/>
      <c r="C82" s="29"/>
      <c r="D82" s="29"/>
      <c r="E82" s="29"/>
      <c r="F82" s="30"/>
      <c r="G82" s="29"/>
      <c r="H82" s="29"/>
      <c r="I82" s="29"/>
      <c r="J82" s="30"/>
      <c r="K82" s="29"/>
      <c r="L82" s="29"/>
      <c r="M82" s="29"/>
      <c r="N82" s="29"/>
      <c r="O82" s="29"/>
      <c r="P82" s="29"/>
    </row>
    <row r="83">
      <c r="A83" s="28"/>
      <c r="B83" s="29"/>
      <c r="C83" s="29"/>
      <c r="D83" s="29"/>
      <c r="E83" s="29"/>
      <c r="F83" s="30"/>
      <c r="G83" s="29"/>
      <c r="H83" s="29"/>
      <c r="I83" s="29"/>
      <c r="J83" s="30"/>
      <c r="K83" s="30"/>
      <c r="L83" s="29"/>
      <c r="M83" s="29"/>
      <c r="N83" s="29"/>
      <c r="O83" s="29"/>
      <c r="P83" s="29"/>
    </row>
    <row r="84">
      <c r="A84" s="28"/>
      <c r="B84" s="29"/>
      <c r="C84" s="29"/>
      <c r="D84" s="29"/>
      <c r="E84" s="29"/>
      <c r="F84" s="29"/>
      <c r="G84" s="29"/>
      <c r="H84" s="29"/>
      <c r="I84" s="29"/>
      <c r="J84" s="30"/>
      <c r="K84" s="29"/>
      <c r="L84" s="30"/>
      <c r="M84" s="29"/>
      <c r="N84" s="29"/>
      <c r="O84" s="29"/>
      <c r="P84" s="29"/>
    </row>
    <row r="85">
      <c r="A85" s="28"/>
      <c r="B85" s="29"/>
      <c r="C85" s="29"/>
      <c r="D85" s="29"/>
      <c r="E85" s="29"/>
      <c r="F85" s="30"/>
      <c r="G85" s="29"/>
      <c r="H85" s="29"/>
      <c r="I85" s="29"/>
      <c r="J85" s="29"/>
      <c r="K85" s="29"/>
      <c r="L85" s="29"/>
      <c r="M85" s="29"/>
      <c r="N85" s="29"/>
      <c r="O85" s="29"/>
      <c r="P85" s="29"/>
    </row>
    <row r="86">
      <c r="A86" s="28"/>
      <c r="B86" s="29"/>
      <c r="C86" s="29"/>
      <c r="D86" s="29"/>
      <c r="E86" s="29"/>
      <c r="F86" s="30"/>
      <c r="G86" s="29"/>
      <c r="H86" s="29"/>
      <c r="I86" s="29"/>
      <c r="J86" s="30"/>
      <c r="K86" s="29"/>
      <c r="L86" s="29"/>
      <c r="M86" s="29"/>
      <c r="N86" s="29"/>
      <c r="O86" s="29"/>
      <c r="P86" s="29"/>
    </row>
    <row r="87">
      <c r="A87" s="28"/>
      <c r="B87" s="29"/>
      <c r="C87" s="29"/>
      <c r="D87" s="29"/>
      <c r="E87" s="29"/>
      <c r="F87" s="30"/>
      <c r="G87" s="29"/>
      <c r="H87" s="29"/>
      <c r="I87" s="29"/>
      <c r="J87" s="30"/>
      <c r="K87" s="29"/>
      <c r="L87" s="29"/>
      <c r="M87" s="29"/>
      <c r="N87" s="29"/>
      <c r="O87" s="29"/>
      <c r="P87" s="29"/>
    </row>
    <row r="88">
      <c r="A88" s="28"/>
      <c r="B88" s="29"/>
      <c r="C88" s="29"/>
      <c r="D88" s="29"/>
      <c r="E88" s="29"/>
      <c r="F88" s="30"/>
      <c r="G88" s="29"/>
      <c r="H88" s="29"/>
      <c r="I88" s="29"/>
      <c r="J88" s="30"/>
      <c r="K88" s="29"/>
      <c r="L88" s="29"/>
      <c r="M88" s="29"/>
      <c r="N88" s="29"/>
      <c r="O88" s="29"/>
      <c r="P88" s="29"/>
    </row>
    <row r="89">
      <c r="A89" s="28"/>
      <c r="B89" s="29"/>
      <c r="C89" s="29"/>
      <c r="D89" s="29"/>
      <c r="E89" s="29"/>
      <c r="F89" s="30"/>
      <c r="G89" s="29"/>
      <c r="H89" s="29"/>
      <c r="I89" s="29"/>
      <c r="J89" s="30"/>
      <c r="K89" s="29"/>
      <c r="L89" s="29"/>
      <c r="M89" s="29"/>
      <c r="N89" s="29"/>
      <c r="O89" s="29"/>
      <c r="P89" s="29"/>
    </row>
    <row r="90">
      <c r="A90" s="28"/>
      <c r="B90" s="29"/>
      <c r="C90" s="29"/>
      <c r="D90" s="29"/>
      <c r="E90" s="29"/>
      <c r="F90" s="30"/>
      <c r="G90" s="29"/>
      <c r="H90" s="29"/>
      <c r="I90" s="29"/>
      <c r="J90" s="30"/>
      <c r="K90" s="29"/>
      <c r="L90" s="30"/>
      <c r="M90" s="29"/>
      <c r="N90" s="29"/>
      <c r="O90" s="29"/>
      <c r="P90" s="29"/>
    </row>
    <row r="91">
      <c r="A91" s="28"/>
      <c r="B91" s="29"/>
      <c r="C91" s="29"/>
      <c r="D91" s="29"/>
      <c r="E91" s="29"/>
      <c r="F91" s="30"/>
      <c r="G91" s="29"/>
      <c r="H91" s="29"/>
      <c r="I91" s="29"/>
      <c r="J91" s="30"/>
      <c r="K91" s="29"/>
      <c r="L91" s="29"/>
      <c r="M91" s="29"/>
      <c r="N91" s="29"/>
      <c r="O91" s="29"/>
      <c r="P91" s="29"/>
    </row>
    <row r="92">
      <c r="A92" s="28"/>
      <c r="B92" s="29"/>
      <c r="C92" s="29"/>
      <c r="D92" s="29"/>
      <c r="E92" s="29"/>
      <c r="F92" s="30"/>
      <c r="G92" s="29"/>
      <c r="H92" s="29"/>
      <c r="I92" s="29"/>
      <c r="J92" s="30"/>
      <c r="K92" s="29"/>
      <c r="L92" s="29"/>
      <c r="M92" s="29"/>
      <c r="N92" s="29"/>
      <c r="O92" s="29"/>
      <c r="P92" s="29"/>
    </row>
    <row r="93">
      <c r="A93" s="28"/>
      <c r="B93" s="29"/>
      <c r="C93" s="29"/>
      <c r="D93" s="29"/>
      <c r="E93" s="29"/>
      <c r="F93" s="30"/>
      <c r="G93" s="29"/>
      <c r="H93" s="29"/>
      <c r="I93" s="29"/>
      <c r="J93" s="30"/>
      <c r="K93" s="29"/>
      <c r="L93" s="29"/>
      <c r="M93" s="29"/>
      <c r="N93" s="29"/>
      <c r="O93" s="29"/>
      <c r="P93" s="29"/>
    </row>
    <row r="94">
      <c r="A94" s="28"/>
      <c r="B94" s="29"/>
      <c r="C94" s="29"/>
      <c r="D94" s="29"/>
      <c r="E94" s="29"/>
      <c r="F94" s="30"/>
      <c r="G94" s="29"/>
      <c r="H94" s="29"/>
      <c r="I94" s="29"/>
      <c r="J94" s="30"/>
      <c r="K94" s="29"/>
      <c r="L94" s="29"/>
      <c r="M94" s="29"/>
      <c r="N94" s="29"/>
      <c r="O94" s="29"/>
      <c r="P94" s="29"/>
    </row>
    <row r="95">
      <c r="A95" s="28"/>
      <c r="B95" s="29"/>
      <c r="C95" s="29"/>
      <c r="D95" s="29"/>
      <c r="E95" s="29"/>
      <c r="F95" s="30"/>
      <c r="G95" s="29"/>
      <c r="H95" s="29"/>
      <c r="I95" s="29"/>
      <c r="J95" s="30"/>
      <c r="K95" s="29"/>
      <c r="L95" s="29"/>
      <c r="M95" s="29"/>
      <c r="N95" s="29"/>
      <c r="O95" s="29"/>
      <c r="P95" s="29"/>
    </row>
    <row r="96">
      <c r="A96" s="28"/>
      <c r="B96" s="29"/>
      <c r="C96" s="29"/>
      <c r="D96" s="29"/>
      <c r="E96" s="29"/>
      <c r="F96" s="30"/>
      <c r="G96" s="29"/>
      <c r="H96" s="29"/>
      <c r="I96" s="29"/>
      <c r="J96" s="30"/>
      <c r="K96" s="29"/>
      <c r="L96" s="29"/>
      <c r="M96" s="29"/>
      <c r="N96" s="29"/>
      <c r="O96" s="29"/>
      <c r="P96" s="29"/>
    </row>
    <row r="97">
      <c r="A97" s="28"/>
      <c r="B97" s="29"/>
      <c r="C97" s="29"/>
      <c r="D97" s="29"/>
      <c r="E97" s="29"/>
      <c r="F97" s="30"/>
      <c r="G97" s="29"/>
      <c r="H97" s="29"/>
      <c r="I97" s="29"/>
      <c r="J97" s="30"/>
      <c r="K97" s="29"/>
      <c r="L97" s="29"/>
      <c r="M97" s="29"/>
      <c r="N97" s="29"/>
      <c r="O97" s="29"/>
      <c r="P97" s="29"/>
    </row>
    <row r="98">
      <c r="A98" s="28"/>
      <c r="B98" s="29"/>
      <c r="C98" s="29"/>
      <c r="D98" s="29"/>
      <c r="E98" s="29"/>
      <c r="F98" s="30"/>
      <c r="G98" s="29"/>
      <c r="H98" s="29"/>
      <c r="I98" s="29"/>
      <c r="J98" s="30"/>
      <c r="K98" s="29"/>
      <c r="L98" s="29"/>
      <c r="M98" s="29"/>
      <c r="N98" s="29"/>
      <c r="O98" s="29"/>
      <c r="P98" s="29"/>
    </row>
    <row r="99">
      <c r="A99" s="28"/>
      <c r="B99" s="29"/>
      <c r="C99" s="29"/>
      <c r="D99" s="29"/>
      <c r="E99" s="29"/>
      <c r="F99" s="30"/>
      <c r="G99" s="29"/>
      <c r="H99" s="29"/>
      <c r="I99" s="29"/>
      <c r="J99" s="29"/>
      <c r="K99" s="29"/>
      <c r="L99" s="29"/>
      <c r="M99" s="29"/>
      <c r="N99" s="29"/>
      <c r="O99" s="29"/>
      <c r="P99" s="29"/>
    </row>
    <row r="100">
      <c r="A100" s="28"/>
      <c r="B100" s="29"/>
      <c r="C100" s="29"/>
      <c r="D100" s="29"/>
      <c r="E100" s="29"/>
      <c r="F100" s="30"/>
      <c r="G100" s="29"/>
      <c r="H100" s="29"/>
      <c r="I100" s="29"/>
      <c r="J100" s="30"/>
      <c r="K100" s="29"/>
      <c r="L100" s="29"/>
      <c r="M100" s="29"/>
      <c r="N100" s="29"/>
      <c r="O100" s="29"/>
      <c r="P100" s="29"/>
    </row>
    <row r="101">
      <c r="A101" s="28"/>
      <c r="B101" s="29"/>
      <c r="C101" s="29"/>
      <c r="D101" s="29"/>
      <c r="E101" s="29"/>
      <c r="F101" s="30"/>
      <c r="G101" s="29"/>
      <c r="H101" s="29"/>
      <c r="I101" s="29"/>
      <c r="J101" s="30"/>
      <c r="K101" s="29"/>
      <c r="L101" s="29"/>
      <c r="M101" s="29"/>
      <c r="N101" s="29"/>
      <c r="O101" s="29"/>
      <c r="P101" s="29"/>
    </row>
    <row r="102">
      <c r="A102" s="28"/>
      <c r="B102" s="29"/>
      <c r="C102" s="29"/>
      <c r="D102" s="29"/>
      <c r="E102" s="29"/>
      <c r="F102" s="30"/>
      <c r="G102" s="29"/>
      <c r="H102" s="29"/>
      <c r="I102" s="29"/>
      <c r="J102" s="30"/>
      <c r="K102" s="29"/>
      <c r="L102" s="29"/>
      <c r="M102" s="29"/>
      <c r="N102" s="29"/>
      <c r="O102" s="29"/>
      <c r="P102" s="29"/>
    </row>
    <row r="103">
      <c r="A103" s="28"/>
      <c r="B103" s="29"/>
      <c r="C103" s="29"/>
      <c r="D103" s="29"/>
      <c r="E103" s="29"/>
      <c r="F103" s="30"/>
      <c r="G103" s="29"/>
      <c r="H103" s="29"/>
      <c r="I103" s="29"/>
      <c r="J103" s="30"/>
      <c r="K103" s="29"/>
      <c r="L103" s="29"/>
      <c r="M103" s="29"/>
      <c r="N103" s="29"/>
      <c r="O103" s="29"/>
      <c r="P103" s="29"/>
    </row>
    <row r="104">
      <c r="A104" s="28"/>
      <c r="B104" s="29"/>
      <c r="C104" s="29"/>
      <c r="D104" s="29"/>
      <c r="E104" s="29"/>
      <c r="F104" s="30"/>
      <c r="G104" s="29"/>
      <c r="H104" s="29"/>
      <c r="I104" s="29"/>
      <c r="J104" s="30"/>
      <c r="K104" s="30"/>
      <c r="L104" s="29"/>
      <c r="M104" s="29"/>
      <c r="N104" s="29"/>
      <c r="O104" s="29"/>
      <c r="P104" s="29"/>
    </row>
    <row r="105">
      <c r="A105" s="28"/>
      <c r="B105" s="29"/>
      <c r="C105" s="29"/>
      <c r="D105" s="29"/>
      <c r="E105" s="29"/>
      <c r="F105" s="30"/>
      <c r="G105" s="29"/>
      <c r="H105" s="29"/>
      <c r="I105" s="29"/>
      <c r="J105" s="30"/>
      <c r="K105" s="29"/>
      <c r="L105" s="29"/>
      <c r="M105" s="29"/>
      <c r="N105" s="29"/>
      <c r="O105" s="29"/>
      <c r="P105" s="29"/>
    </row>
    <row r="106">
      <c r="A106" s="28"/>
      <c r="B106" s="29"/>
      <c r="C106" s="29"/>
      <c r="D106" s="29"/>
      <c r="E106" s="29"/>
      <c r="F106" s="30"/>
      <c r="G106" s="29"/>
      <c r="H106" s="29"/>
      <c r="I106" s="29"/>
      <c r="J106" s="30"/>
      <c r="K106" s="29"/>
      <c r="L106" s="29"/>
      <c r="M106" s="29"/>
      <c r="N106" s="29"/>
      <c r="O106" s="29"/>
      <c r="P106" s="29"/>
    </row>
    <row r="107">
      <c r="A107" s="28"/>
      <c r="B107" s="29"/>
      <c r="C107" s="29"/>
      <c r="D107" s="29"/>
      <c r="E107" s="29"/>
      <c r="F107" s="30"/>
      <c r="G107" s="29"/>
      <c r="H107" s="29"/>
      <c r="I107" s="29"/>
      <c r="J107" s="30"/>
      <c r="K107" s="29"/>
      <c r="L107" s="29"/>
      <c r="M107" s="29"/>
      <c r="N107" s="29"/>
      <c r="O107" s="29"/>
      <c r="P107" s="29"/>
    </row>
    <row r="108">
      <c r="A108" s="28"/>
      <c r="B108" s="29"/>
      <c r="C108" s="29"/>
      <c r="D108" s="29"/>
      <c r="E108" s="29"/>
      <c r="F108" s="30"/>
      <c r="G108" s="29"/>
      <c r="H108" s="29"/>
      <c r="I108" s="29"/>
      <c r="J108" s="30"/>
      <c r="K108" s="29"/>
      <c r="L108" s="29"/>
      <c r="M108" s="29"/>
      <c r="N108" s="29"/>
      <c r="O108" s="29"/>
      <c r="P108" s="29"/>
    </row>
    <row r="109">
      <c r="A109" s="28"/>
      <c r="B109" s="29"/>
      <c r="C109" s="29"/>
      <c r="D109" s="29"/>
      <c r="E109" s="29"/>
      <c r="F109" s="30"/>
      <c r="G109" s="29"/>
      <c r="H109" s="29"/>
      <c r="I109" s="29"/>
      <c r="J109" s="30"/>
      <c r="K109" s="29"/>
      <c r="L109" s="29"/>
      <c r="M109" s="29"/>
      <c r="N109" s="29"/>
      <c r="O109" s="29"/>
      <c r="P109" s="29"/>
    </row>
    <row r="110">
      <c r="A110" s="28"/>
      <c r="B110" s="29"/>
      <c r="C110" s="29"/>
      <c r="D110" s="29"/>
      <c r="E110" s="29"/>
      <c r="F110" s="29"/>
      <c r="G110" s="29"/>
      <c r="H110" s="29"/>
      <c r="I110" s="29"/>
      <c r="J110" s="30"/>
      <c r="K110" s="29"/>
      <c r="L110" s="29"/>
      <c r="M110" s="29"/>
      <c r="N110" s="29"/>
      <c r="O110" s="29"/>
      <c r="P110" s="29"/>
    </row>
    <row r="111">
      <c r="A111" s="28"/>
      <c r="B111" s="29"/>
      <c r="C111" s="29"/>
      <c r="D111" s="29"/>
      <c r="E111" s="29"/>
      <c r="F111" s="30"/>
      <c r="G111" s="29"/>
      <c r="H111" s="29"/>
      <c r="I111" s="29"/>
      <c r="J111" s="30"/>
      <c r="K111" s="29"/>
      <c r="L111" s="29"/>
      <c r="M111" s="29"/>
      <c r="N111" s="29"/>
      <c r="O111" s="29"/>
      <c r="P111" s="29"/>
    </row>
    <row r="112">
      <c r="A112" s="28"/>
      <c r="B112" s="29"/>
      <c r="C112" s="29"/>
      <c r="D112" s="29"/>
      <c r="E112" s="29"/>
      <c r="F112" s="30"/>
      <c r="G112" s="29"/>
      <c r="H112" s="29"/>
      <c r="I112" s="29"/>
      <c r="J112" s="30"/>
      <c r="K112" s="29"/>
      <c r="L112" s="29"/>
      <c r="M112" s="29"/>
      <c r="N112" s="29"/>
      <c r="O112" s="29"/>
      <c r="P112" s="29"/>
    </row>
    <row r="113">
      <c r="A113" s="28"/>
      <c r="B113" s="29"/>
      <c r="C113" s="29"/>
      <c r="D113" s="29"/>
      <c r="E113" s="29"/>
      <c r="F113" s="30"/>
      <c r="G113" s="29"/>
      <c r="H113" s="29"/>
      <c r="I113" s="29"/>
      <c r="J113" s="30"/>
      <c r="K113" s="29"/>
      <c r="L113" s="29"/>
      <c r="M113" s="29"/>
      <c r="N113" s="29"/>
      <c r="O113" s="29"/>
      <c r="P113" s="29"/>
    </row>
    <row r="114">
      <c r="A114" s="28"/>
      <c r="B114" s="29"/>
      <c r="C114" s="29"/>
      <c r="D114" s="29"/>
      <c r="E114" s="29"/>
      <c r="F114" s="30"/>
      <c r="G114" s="29"/>
      <c r="H114" s="29"/>
      <c r="I114" s="29"/>
      <c r="J114" s="30"/>
      <c r="K114" s="29"/>
      <c r="L114" s="29"/>
      <c r="M114" s="29"/>
      <c r="N114" s="29"/>
      <c r="O114" s="29"/>
      <c r="P114" s="29"/>
    </row>
    <row r="115">
      <c r="A115" s="28"/>
      <c r="B115" s="29"/>
      <c r="C115" s="29"/>
      <c r="D115" s="29"/>
      <c r="E115" s="29"/>
      <c r="F115" s="30"/>
      <c r="G115" s="29"/>
      <c r="H115" s="29"/>
      <c r="I115" s="29"/>
      <c r="J115" s="30"/>
      <c r="K115" s="29"/>
      <c r="L115" s="29"/>
      <c r="M115" s="29"/>
      <c r="N115" s="29"/>
      <c r="O115" s="29"/>
      <c r="P115" s="29"/>
    </row>
    <row r="116">
      <c r="A116" s="28"/>
      <c r="B116" s="29"/>
      <c r="C116" s="29"/>
      <c r="D116" s="29"/>
      <c r="E116" s="29"/>
      <c r="F116" s="30"/>
      <c r="G116" s="29"/>
      <c r="H116" s="29"/>
      <c r="I116" s="29"/>
      <c r="J116" s="30"/>
      <c r="K116" s="29"/>
      <c r="L116" s="29"/>
      <c r="M116" s="29"/>
      <c r="N116" s="29"/>
      <c r="O116" s="29"/>
      <c r="P116" s="29"/>
    </row>
    <row r="117">
      <c r="A117" s="28"/>
      <c r="B117" s="29"/>
      <c r="C117" s="29"/>
      <c r="D117" s="29"/>
      <c r="E117" s="29"/>
      <c r="F117" s="30"/>
      <c r="G117" s="29"/>
      <c r="H117" s="29"/>
      <c r="I117" s="29"/>
      <c r="J117" s="30"/>
      <c r="K117" s="30"/>
      <c r="L117" s="29"/>
      <c r="M117" s="29"/>
      <c r="N117" s="29"/>
      <c r="O117" s="29"/>
      <c r="P117" s="29"/>
    </row>
    <row r="118">
      <c r="A118" s="28"/>
      <c r="B118" s="29"/>
      <c r="C118" s="29"/>
      <c r="D118" s="29"/>
      <c r="E118" s="29"/>
      <c r="F118" s="30"/>
      <c r="G118" s="29"/>
      <c r="H118" s="29"/>
      <c r="I118" s="29"/>
      <c r="J118" s="30"/>
      <c r="K118" s="30"/>
      <c r="L118" s="29"/>
      <c r="M118" s="29"/>
      <c r="N118" s="29"/>
      <c r="O118" s="29"/>
      <c r="P118" s="29"/>
    </row>
    <row r="119">
      <c r="A119" s="28"/>
      <c r="B119" s="29"/>
      <c r="C119" s="29"/>
      <c r="D119" s="29"/>
      <c r="E119" s="29"/>
      <c r="F119" s="30"/>
      <c r="G119" s="29"/>
      <c r="H119" s="29"/>
      <c r="I119" s="29"/>
      <c r="J119" s="30"/>
      <c r="K119" s="29"/>
      <c r="L119" s="29"/>
      <c r="M119" s="29"/>
      <c r="N119" s="29"/>
      <c r="O119" s="29"/>
      <c r="P119" s="29"/>
    </row>
    <row r="120">
      <c r="A120" s="28"/>
      <c r="B120" s="29"/>
      <c r="C120" s="29"/>
      <c r="D120" s="29"/>
      <c r="E120" s="29"/>
      <c r="F120" s="30"/>
      <c r="G120" s="29"/>
      <c r="H120" s="29"/>
      <c r="I120" s="29"/>
      <c r="J120" s="30"/>
      <c r="K120" s="29"/>
      <c r="L120" s="29"/>
      <c r="M120" s="29"/>
      <c r="N120" s="29"/>
      <c r="O120" s="29"/>
      <c r="P120" s="29"/>
    </row>
    <row r="121">
      <c r="A121" s="28"/>
      <c r="B121" s="29"/>
      <c r="C121" s="29"/>
      <c r="D121" s="29"/>
      <c r="E121" s="29"/>
      <c r="F121" s="30"/>
      <c r="G121" s="29"/>
      <c r="H121" s="29"/>
      <c r="I121" s="29"/>
      <c r="J121" s="30"/>
      <c r="K121" s="29"/>
      <c r="L121" s="29"/>
      <c r="M121" s="29"/>
      <c r="N121" s="29"/>
      <c r="O121" s="29"/>
      <c r="P121" s="29"/>
    </row>
    <row r="122">
      <c r="A122" s="28"/>
      <c r="B122" s="29"/>
      <c r="C122" s="29"/>
      <c r="D122" s="29"/>
      <c r="E122" s="29"/>
      <c r="F122" s="30"/>
      <c r="G122" s="29"/>
      <c r="H122" s="30"/>
      <c r="I122" s="29"/>
      <c r="J122" s="30"/>
      <c r="K122" s="29"/>
      <c r="L122" s="29"/>
      <c r="M122" s="29"/>
      <c r="N122" s="29"/>
      <c r="O122" s="29"/>
      <c r="P122" s="29"/>
    </row>
    <row r="123">
      <c r="A123" s="28"/>
      <c r="B123" s="29"/>
      <c r="C123" s="29"/>
      <c r="D123" s="29"/>
      <c r="E123" s="29"/>
      <c r="F123" s="30"/>
      <c r="G123" s="29"/>
      <c r="H123" s="30"/>
      <c r="I123" s="29"/>
      <c r="J123" s="30"/>
      <c r="K123" s="29"/>
      <c r="L123" s="29"/>
      <c r="M123" s="29"/>
      <c r="N123" s="29"/>
      <c r="O123" s="29"/>
      <c r="P123" s="29"/>
    </row>
    <row r="124">
      <c r="A124" s="28"/>
      <c r="B124" s="29"/>
      <c r="C124" s="29"/>
      <c r="D124" s="29"/>
      <c r="E124" s="29"/>
      <c r="F124" s="30"/>
      <c r="G124" s="29"/>
      <c r="H124" s="29"/>
      <c r="I124" s="29"/>
      <c r="J124" s="30"/>
      <c r="K124" s="29"/>
      <c r="L124" s="30"/>
      <c r="M124" s="29"/>
      <c r="N124" s="29"/>
      <c r="O124" s="29"/>
      <c r="P124" s="29"/>
    </row>
    <row r="125">
      <c r="A125" s="28"/>
      <c r="B125" s="29"/>
      <c r="C125" s="29"/>
      <c r="D125" s="29"/>
      <c r="E125" s="29"/>
      <c r="F125" s="29"/>
      <c r="G125" s="29"/>
      <c r="H125" s="29"/>
      <c r="I125" s="29"/>
      <c r="J125" s="29"/>
      <c r="K125" s="29"/>
      <c r="L125" s="29"/>
      <c r="M125" s="29"/>
      <c r="N125" s="29"/>
      <c r="O125" s="29"/>
      <c r="P125" s="29"/>
    </row>
    <row r="126">
      <c r="A126" s="28"/>
      <c r="B126" s="29"/>
      <c r="C126" s="29"/>
      <c r="D126" s="29"/>
      <c r="E126" s="29"/>
      <c r="F126" s="30"/>
      <c r="G126" s="29"/>
      <c r="H126" s="30"/>
      <c r="I126" s="29"/>
      <c r="J126" s="30"/>
      <c r="K126" s="29"/>
      <c r="L126" s="29"/>
      <c r="M126" s="29"/>
      <c r="N126" s="29"/>
      <c r="O126" s="29"/>
      <c r="P126" s="29"/>
    </row>
    <row r="127">
      <c r="A127" s="28"/>
      <c r="B127" s="29"/>
      <c r="C127" s="29"/>
      <c r="D127" s="29"/>
      <c r="E127" s="29"/>
      <c r="F127" s="30"/>
      <c r="G127" s="29"/>
      <c r="H127" s="29"/>
      <c r="I127" s="29"/>
      <c r="J127" s="30"/>
      <c r="K127" s="29"/>
      <c r="L127" s="29"/>
      <c r="M127" s="29"/>
      <c r="N127" s="29"/>
      <c r="O127" s="29"/>
      <c r="P127" s="29"/>
    </row>
    <row r="128">
      <c r="A128" s="28"/>
      <c r="B128" s="29"/>
      <c r="C128" s="29"/>
      <c r="D128" s="29"/>
      <c r="E128" s="29"/>
      <c r="F128" s="30"/>
      <c r="G128" s="29"/>
      <c r="H128" s="29"/>
      <c r="I128" s="29"/>
      <c r="J128" s="29"/>
      <c r="K128" s="29"/>
      <c r="L128" s="29"/>
      <c r="M128" s="29"/>
      <c r="N128" s="29"/>
      <c r="O128" s="29"/>
      <c r="P128" s="29"/>
    </row>
    <row r="129">
      <c r="A129" s="28"/>
      <c r="B129" s="29"/>
      <c r="C129" s="29"/>
      <c r="D129" s="29"/>
      <c r="E129" s="29"/>
      <c r="F129" s="30"/>
      <c r="G129" s="29"/>
      <c r="H129" s="29"/>
      <c r="I129" s="29"/>
      <c r="J129" s="30"/>
      <c r="K129" s="29"/>
      <c r="L129" s="29"/>
      <c r="M129" s="29"/>
      <c r="N129" s="29"/>
      <c r="O129" s="29"/>
      <c r="P129" s="29"/>
    </row>
    <row r="130">
      <c r="A130" s="28"/>
      <c r="B130" s="29"/>
      <c r="C130" s="29"/>
      <c r="D130" s="29"/>
      <c r="E130" s="29"/>
      <c r="F130" s="30"/>
      <c r="G130" s="29"/>
      <c r="H130" s="29"/>
      <c r="I130" s="29"/>
      <c r="J130" s="30"/>
      <c r="K130" s="29"/>
      <c r="L130" s="29"/>
      <c r="M130" s="29"/>
      <c r="N130" s="29"/>
      <c r="O130" s="29"/>
      <c r="P130" s="29"/>
    </row>
    <row r="131">
      <c r="A131" s="28"/>
      <c r="B131" s="29"/>
      <c r="C131" s="29"/>
      <c r="D131" s="29"/>
      <c r="E131" s="29"/>
      <c r="F131" s="29"/>
      <c r="G131" s="29"/>
      <c r="H131" s="29"/>
      <c r="I131" s="29"/>
      <c r="J131" s="30"/>
      <c r="K131" s="29"/>
      <c r="L131" s="29"/>
      <c r="M131" s="29"/>
      <c r="N131" s="29"/>
      <c r="O131" s="29"/>
      <c r="P131" s="29"/>
    </row>
    <row r="132">
      <c r="A132" s="28"/>
      <c r="B132" s="29"/>
      <c r="C132" s="29"/>
      <c r="D132" s="29"/>
      <c r="E132" s="29"/>
      <c r="F132" s="30"/>
      <c r="G132" s="29"/>
      <c r="H132" s="29"/>
      <c r="I132" s="29"/>
      <c r="J132" s="30"/>
      <c r="K132" s="29"/>
      <c r="L132" s="29"/>
      <c r="M132" s="29"/>
      <c r="N132" s="29"/>
      <c r="O132" s="29"/>
      <c r="P132" s="29"/>
    </row>
    <row r="133">
      <c r="A133" s="28"/>
      <c r="B133" s="29"/>
      <c r="C133" s="29"/>
      <c r="D133" s="29"/>
      <c r="E133" s="29"/>
      <c r="F133" s="29"/>
      <c r="G133" s="29"/>
      <c r="H133" s="29"/>
      <c r="I133" s="29"/>
      <c r="J133" s="30"/>
      <c r="K133" s="29"/>
      <c r="L133" s="29"/>
      <c r="M133" s="29"/>
      <c r="N133" s="29"/>
      <c r="O133" s="29"/>
      <c r="P133" s="29"/>
    </row>
    <row r="134">
      <c r="A134" s="28"/>
      <c r="B134" s="29"/>
      <c r="C134" s="29"/>
      <c r="D134" s="29"/>
      <c r="E134" s="29"/>
      <c r="F134" s="29"/>
      <c r="G134" s="29"/>
      <c r="H134" s="29"/>
      <c r="I134" s="29"/>
      <c r="J134" s="30"/>
      <c r="K134" s="29"/>
      <c r="L134" s="29"/>
      <c r="M134" s="29"/>
      <c r="N134" s="29"/>
      <c r="O134" s="29"/>
      <c r="P134" s="29"/>
    </row>
    <row r="135">
      <c r="A135" s="28"/>
      <c r="B135" s="29"/>
      <c r="C135" s="29"/>
      <c r="D135" s="29"/>
      <c r="E135" s="29"/>
      <c r="F135" s="30"/>
      <c r="G135" s="29"/>
      <c r="H135" s="30"/>
      <c r="I135" s="29"/>
      <c r="J135" s="30"/>
      <c r="K135" s="29"/>
      <c r="L135" s="29"/>
      <c r="M135" s="29"/>
      <c r="N135" s="29"/>
      <c r="O135" s="29"/>
      <c r="P135" s="29"/>
    </row>
    <row r="136">
      <c r="A136" s="28"/>
      <c r="B136" s="29"/>
      <c r="C136" s="29"/>
      <c r="D136" s="29"/>
      <c r="E136" s="29"/>
      <c r="F136" s="29"/>
      <c r="G136" s="29"/>
      <c r="H136" s="29"/>
      <c r="I136" s="29"/>
      <c r="J136" s="29"/>
      <c r="K136" s="29"/>
      <c r="L136" s="29"/>
      <c r="M136" s="29"/>
      <c r="N136" s="29"/>
      <c r="O136" s="29"/>
      <c r="P136" s="29"/>
    </row>
    <row r="137">
      <c r="A137" s="28"/>
      <c r="B137" s="29"/>
      <c r="C137" s="29"/>
      <c r="D137" s="29"/>
      <c r="E137" s="29"/>
      <c r="F137" s="30"/>
      <c r="G137" s="29"/>
      <c r="H137" s="29"/>
      <c r="I137" s="29"/>
      <c r="J137" s="30"/>
      <c r="K137" s="29"/>
      <c r="L137" s="29"/>
      <c r="M137" s="29"/>
      <c r="N137" s="29"/>
      <c r="O137" s="29"/>
      <c r="P137" s="29"/>
    </row>
    <row r="138">
      <c r="A138" s="28"/>
      <c r="B138" s="29"/>
      <c r="C138" s="29"/>
      <c r="D138" s="29"/>
      <c r="E138" s="29"/>
      <c r="F138" s="30"/>
      <c r="G138" s="29"/>
      <c r="H138" s="29"/>
      <c r="I138" s="29"/>
      <c r="J138" s="30"/>
      <c r="K138" s="29"/>
      <c r="L138" s="29"/>
      <c r="M138" s="29"/>
      <c r="N138" s="29"/>
      <c r="O138" s="29"/>
      <c r="P138" s="29"/>
    </row>
    <row r="139">
      <c r="A139" s="28"/>
      <c r="B139" s="29"/>
      <c r="C139" s="29"/>
      <c r="D139" s="29"/>
      <c r="E139" s="29"/>
      <c r="F139" s="30"/>
      <c r="G139" s="29"/>
      <c r="H139" s="29"/>
      <c r="I139" s="29"/>
      <c r="J139" s="30"/>
      <c r="K139" s="29"/>
      <c r="L139" s="29"/>
      <c r="M139" s="29"/>
      <c r="N139" s="29"/>
      <c r="O139" s="29"/>
      <c r="P139" s="29"/>
    </row>
    <row r="140">
      <c r="A140" s="28"/>
      <c r="B140" s="29"/>
      <c r="C140" s="29"/>
      <c r="D140" s="29"/>
      <c r="E140" s="29"/>
      <c r="F140" s="30"/>
      <c r="G140" s="29"/>
      <c r="H140" s="29"/>
      <c r="I140" s="29"/>
      <c r="J140" s="30"/>
      <c r="K140" s="30"/>
      <c r="L140" s="29"/>
      <c r="M140" s="29"/>
      <c r="N140" s="29"/>
      <c r="O140" s="29"/>
      <c r="P140" s="29"/>
    </row>
    <row r="141">
      <c r="A141" s="28"/>
      <c r="B141" s="29"/>
      <c r="C141" s="29"/>
      <c r="D141" s="29"/>
      <c r="E141" s="29"/>
      <c r="F141" s="30"/>
      <c r="G141" s="29"/>
      <c r="H141" s="29"/>
      <c r="I141" s="29"/>
      <c r="J141" s="30"/>
      <c r="K141" s="29"/>
      <c r="L141" s="29"/>
      <c r="M141" s="29"/>
      <c r="N141" s="29"/>
      <c r="O141" s="29"/>
      <c r="P141" s="29"/>
    </row>
    <row r="142">
      <c r="A142" s="28"/>
      <c r="B142" s="29"/>
      <c r="C142" s="29"/>
      <c r="D142" s="29"/>
      <c r="E142" s="29"/>
      <c r="F142" s="30"/>
      <c r="G142" s="29"/>
      <c r="H142" s="29"/>
      <c r="I142" s="29"/>
      <c r="J142" s="30"/>
      <c r="K142" s="29"/>
      <c r="L142" s="29"/>
      <c r="M142" s="29"/>
      <c r="N142" s="29"/>
      <c r="O142" s="29"/>
      <c r="P142" s="29"/>
    </row>
    <row r="143">
      <c r="A143" s="28"/>
      <c r="B143" s="29"/>
      <c r="C143" s="29"/>
      <c r="D143" s="29"/>
      <c r="E143" s="29"/>
      <c r="F143" s="30"/>
      <c r="G143" s="29"/>
      <c r="H143" s="29"/>
      <c r="I143" s="29"/>
      <c r="J143" s="30"/>
      <c r="K143" s="29"/>
      <c r="L143" s="29"/>
      <c r="M143" s="29"/>
      <c r="N143" s="29"/>
      <c r="O143" s="29"/>
      <c r="P143" s="29"/>
    </row>
    <row r="144">
      <c r="A144" s="28"/>
      <c r="B144" s="29"/>
      <c r="C144" s="29"/>
      <c r="D144" s="29"/>
      <c r="E144" s="29"/>
      <c r="F144" s="30"/>
      <c r="G144" s="29"/>
      <c r="H144" s="29"/>
      <c r="I144" s="29"/>
      <c r="J144" s="30"/>
      <c r="K144" s="29"/>
      <c r="L144" s="29"/>
      <c r="M144" s="29"/>
      <c r="N144" s="29"/>
      <c r="O144" s="29"/>
      <c r="P144" s="29"/>
    </row>
    <row r="145">
      <c r="A145" s="28"/>
      <c r="B145" s="29"/>
      <c r="C145" s="29"/>
      <c r="D145" s="29"/>
      <c r="E145" s="29"/>
      <c r="F145" s="30"/>
      <c r="G145" s="29"/>
      <c r="H145" s="29"/>
      <c r="I145" s="29"/>
      <c r="J145" s="30"/>
      <c r="K145" s="29"/>
      <c r="L145" s="29"/>
      <c r="M145" s="29"/>
      <c r="N145" s="29"/>
      <c r="O145" s="29"/>
      <c r="P145" s="29"/>
    </row>
    <row r="146">
      <c r="A146" s="28"/>
      <c r="B146" s="29"/>
      <c r="C146" s="29"/>
      <c r="D146" s="29"/>
      <c r="E146" s="29"/>
      <c r="F146" s="30"/>
      <c r="G146" s="29"/>
      <c r="H146" s="29"/>
      <c r="I146" s="29"/>
      <c r="J146" s="30"/>
      <c r="K146" s="29"/>
      <c r="L146" s="29"/>
      <c r="M146" s="29"/>
      <c r="N146" s="29"/>
      <c r="O146" s="29"/>
      <c r="P146" s="29"/>
    </row>
    <row r="147">
      <c r="A147" s="28"/>
      <c r="B147" s="29"/>
      <c r="C147" s="29"/>
      <c r="D147" s="29"/>
      <c r="E147" s="29"/>
      <c r="F147" s="30"/>
      <c r="G147" s="29"/>
      <c r="H147" s="30"/>
      <c r="I147" s="29"/>
      <c r="J147" s="30"/>
      <c r="K147" s="29"/>
      <c r="L147" s="29"/>
      <c r="M147" s="29"/>
      <c r="N147" s="29"/>
      <c r="O147" s="29"/>
      <c r="P147" s="29"/>
    </row>
    <row r="148">
      <c r="A148" s="28"/>
      <c r="B148" s="29"/>
      <c r="C148" s="29"/>
      <c r="D148" s="29"/>
      <c r="E148" s="29"/>
      <c r="F148" s="30"/>
      <c r="G148" s="29"/>
      <c r="H148" s="29"/>
      <c r="I148" s="29"/>
      <c r="J148" s="29"/>
      <c r="K148" s="29"/>
      <c r="L148" s="29"/>
      <c r="M148" s="29"/>
      <c r="N148" s="29"/>
      <c r="O148" s="29"/>
      <c r="P148" s="29"/>
    </row>
    <row r="149">
      <c r="A149" s="28"/>
      <c r="B149" s="29"/>
      <c r="C149" s="29"/>
      <c r="D149" s="29"/>
      <c r="E149" s="29"/>
      <c r="F149" s="29"/>
      <c r="G149" s="29"/>
      <c r="H149" s="29"/>
      <c r="I149" s="29"/>
      <c r="J149" s="29"/>
      <c r="K149" s="29"/>
      <c r="L149" s="29"/>
      <c r="M149" s="29"/>
      <c r="N149" s="29"/>
      <c r="O149" s="29"/>
      <c r="P149" s="29"/>
    </row>
    <row r="150">
      <c r="A150" s="28"/>
      <c r="B150" s="29"/>
      <c r="C150" s="29"/>
      <c r="D150" s="29"/>
      <c r="E150" s="29"/>
      <c r="F150" s="30"/>
      <c r="G150" s="29"/>
      <c r="H150" s="30"/>
      <c r="I150" s="29"/>
      <c r="J150" s="30"/>
      <c r="K150" s="29"/>
      <c r="L150" s="29"/>
      <c r="M150" s="29"/>
      <c r="N150" s="29"/>
      <c r="O150" s="29"/>
      <c r="P150" s="29"/>
    </row>
    <row r="151">
      <c r="A151" s="28"/>
      <c r="B151" s="29"/>
      <c r="C151" s="29"/>
      <c r="D151" s="29"/>
      <c r="E151" s="29"/>
      <c r="F151" s="29"/>
      <c r="G151" s="29"/>
      <c r="H151" s="29"/>
      <c r="I151" s="29"/>
      <c r="J151" s="30"/>
      <c r="K151" s="29"/>
      <c r="L151" s="29"/>
      <c r="M151" s="29"/>
      <c r="N151" s="29"/>
      <c r="O151" s="29"/>
      <c r="P151" s="29"/>
    </row>
    <row r="152">
      <c r="A152" s="28"/>
      <c r="B152" s="29"/>
      <c r="C152" s="29"/>
      <c r="D152" s="29"/>
      <c r="E152" s="29"/>
      <c r="F152" s="30"/>
      <c r="G152" s="29"/>
      <c r="H152" s="29"/>
      <c r="I152" s="29"/>
      <c r="J152" s="30"/>
      <c r="K152" s="29"/>
      <c r="L152" s="29"/>
      <c r="M152" s="29"/>
      <c r="N152" s="29"/>
      <c r="O152" s="29"/>
      <c r="P152" s="29"/>
    </row>
    <row r="153">
      <c r="A153" s="28"/>
      <c r="B153" s="29"/>
      <c r="C153" s="29"/>
      <c r="D153" s="29"/>
      <c r="E153" s="29"/>
      <c r="F153" s="30"/>
      <c r="G153" s="29"/>
      <c r="H153" s="29"/>
      <c r="I153" s="29"/>
      <c r="J153" s="30"/>
      <c r="K153" s="29"/>
      <c r="L153" s="29"/>
      <c r="M153" s="29"/>
      <c r="N153" s="29"/>
      <c r="O153" s="29"/>
      <c r="P153" s="29"/>
    </row>
    <row r="154">
      <c r="A154" s="28"/>
      <c r="B154" s="29"/>
      <c r="C154" s="29"/>
      <c r="D154" s="29"/>
      <c r="E154" s="29"/>
      <c r="F154" s="30"/>
      <c r="G154" s="29"/>
      <c r="H154" s="29"/>
      <c r="I154" s="29"/>
      <c r="J154" s="30"/>
      <c r="K154" s="29"/>
      <c r="L154" s="29"/>
      <c r="M154" s="29"/>
      <c r="N154" s="29"/>
      <c r="O154" s="29"/>
      <c r="P154" s="29"/>
    </row>
    <row r="155">
      <c r="A155" s="28"/>
      <c r="B155" s="29"/>
      <c r="C155" s="29"/>
      <c r="D155" s="29"/>
      <c r="E155" s="29"/>
      <c r="F155" s="30"/>
      <c r="G155" s="29"/>
      <c r="H155" s="29"/>
      <c r="I155" s="29"/>
      <c r="J155" s="30"/>
      <c r="K155" s="30"/>
      <c r="L155" s="29"/>
      <c r="M155" s="29"/>
      <c r="N155" s="29"/>
      <c r="O155" s="29"/>
      <c r="P155" s="29"/>
    </row>
    <row r="156">
      <c r="A156" s="28"/>
      <c r="B156" s="29"/>
      <c r="C156" s="29"/>
      <c r="D156" s="29"/>
      <c r="E156" s="29"/>
      <c r="F156" s="30"/>
      <c r="G156" s="29"/>
      <c r="H156" s="29"/>
      <c r="I156" s="29"/>
      <c r="J156" s="29"/>
      <c r="K156" s="29"/>
      <c r="L156" s="29"/>
      <c r="M156" s="29"/>
      <c r="N156" s="29"/>
      <c r="O156" s="29"/>
      <c r="P156" s="29"/>
    </row>
    <row r="157">
      <c r="A157" s="28"/>
      <c r="B157" s="29"/>
      <c r="C157" s="29"/>
      <c r="D157" s="29"/>
      <c r="E157" s="29"/>
      <c r="F157" s="30"/>
      <c r="G157" s="29"/>
      <c r="H157" s="29"/>
      <c r="I157" s="29"/>
      <c r="J157" s="30"/>
      <c r="K157" s="29"/>
      <c r="L157" s="29"/>
      <c r="M157" s="29"/>
      <c r="N157" s="29"/>
      <c r="O157" s="29"/>
      <c r="P157" s="29"/>
    </row>
    <row r="158">
      <c r="A158" s="28"/>
      <c r="B158" s="29"/>
      <c r="C158" s="29"/>
      <c r="D158" s="29"/>
      <c r="E158" s="29"/>
      <c r="F158" s="30"/>
      <c r="G158" s="29"/>
      <c r="H158" s="29"/>
      <c r="I158" s="29"/>
      <c r="J158" s="30"/>
      <c r="K158" s="29"/>
      <c r="L158" s="29"/>
      <c r="M158" s="29"/>
      <c r="N158" s="29"/>
      <c r="O158" s="29"/>
      <c r="P158" s="29"/>
    </row>
    <row r="159">
      <c r="A159" s="28"/>
      <c r="B159" s="29"/>
      <c r="C159" s="29"/>
      <c r="D159" s="29"/>
      <c r="E159" s="29"/>
      <c r="F159" s="30"/>
      <c r="G159" s="29"/>
      <c r="H159" s="29"/>
      <c r="I159" s="29"/>
      <c r="J159" s="30"/>
      <c r="K159" s="29"/>
      <c r="L159" s="29"/>
      <c r="M159" s="29"/>
      <c r="N159" s="29"/>
      <c r="O159" s="29"/>
      <c r="P159" s="29"/>
    </row>
    <row r="160">
      <c r="A160" s="28"/>
      <c r="B160" s="29"/>
      <c r="C160" s="29"/>
      <c r="D160" s="29"/>
      <c r="E160" s="29"/>
      <c r="F160" s="30"/>
      <c r="G160" s="29"/>
      <c r="H160" s="29"/>
      <c r="I160" s="29"/>
      <c r="J160" s="29"/>
      <c r="K160" s="29"/>
      <c r="L160" s="29"/>
      <c r="M160" s="29"/>
      <c r="N160" s="29"/>
      <c r="O160" s="29"/>
      <c r="P160" s="29"/>
    </row>
    <row r="161">
      <c r="A161" s="28"/>
      <c r="B161" s="29"/>
      <c r="C161" s="29"/>
      <c r="D161" s="29"/>
      <c r="E161" s="29"/>
      <c r="F161" s="30"/>
      <c r="G161" s="29"/>
      <c r="H161" s="29"/>
      <c r="I161" s="29"/>
      <c r="J161" s="30"/>
      <c r="K161" s="29"/>
      <c r="L161" s="29"/>
      <c r="M161" s="29"/>
      <c r="N161" s="29"/>
      <c r="O161" s="29"/>
      <c r="P161" s="29"/>
    </row>
    <row r="162">
      <c r="A162" s="28"/>
      <c r="B162" s="29"/>
      <c r="C162" s="29"/>
      <c r="D162" s="29"/>
      <c r="E162" s="29"/>
      <c r="F162" s="30"/>
      <c r="G162" s="29"/>
      <c r="H162" s="29"/>
      <c r="I162" s="29"/>
      <c r="J162" s="30"/>
      <c r="K162" s="29"/>
      <c r="L162" s="29"/>
      <c r="M162" s="29"/>
      <c r="N162" s="29"/>
      <c r="O162" s="29"/>
      <c r="P162" s="29"/>
    </row>
    <row r="163">
      <c r="A163" s="28"/>
      <c r="B163" s="29"/>
      <c r="C163" s="29"/>
      <c r="D163" s="29"/>
      <c r="E163" s="29"/>
      <c r="F163" s="30"/>
      <c r="G163" s="29"/>
      <c r="H163" s="29"/>
      <c r="I163" s="29"/>
      <c r="J163" s="30"/>
      <c r="K163" s="29"/>
      <c r="L163" s="29"/>
      <c r="M163" s="29"/>
      <c r="N163" s="29"/>
      <c r="O163" s="29"/>
      <c r="P163" s="29"/>
    </row>
    <row r="164">
      <c r="A164" s="28"/>
      <c r="B164" s="29"/>
      <c r="C164" s="29"/>
      <c r="D164" s="29"/>
      <c r="E164" s="29"/>
      <c r="F164" s="30"/>
      <c r="G164" s="29"/>
      <c r="H164" s="29"/>
      <c r="I164" s="29"/>
      <c r="J164" s="30"/>
      <c r="K164" s="29"/>
      <c r="L164" s="29"/>
      <c r="M164" s="29"/>
      <c r="N164" s="29"/>
      <c r="O164" s="29"/>
      <c r="P164" s="29"/>
    </row>
    <row r="165">
      <c r="A165" s="28"/>
      <c r="B165" s="29"/>
      <c r="C165" s="29"/>
      <c r="D165" s="29"/>
      <c r="E165" s="29"/>
      <c r="F165" s="29"/>
      <c r="G165" s="29"/>
      <c r="H165" s="29"/>
      <c r="I165" s="29"/>
      <c r="J165" s="30"/>
      <c r="K165" s="29"/>
      <c r="L165" s="29"/>
      <c r="M165" s="29"/>
      <c r="N165" s="29"/>
      <c r="O165" s="29"/>
      <c r="P165" s="29"/>
    </row>
    <row r="166">
      <c r="A166" s="28"/>
      <c r="B166" s="29"/>
      <c r="C166" s="29"/>
      <c r="D166" s="29"/>
      <c r="E166" s="29"/>
      <c r="F166" s="30"/>
      <c r="G166" s="29"/>
      <c r="H166" s="29"/>
      <c r="I166" s="29"/>
      <c r="J166" s="29"/>
      <c r="K166" s="29"/>
      <c r="L166" s="29"/>
      <c r="M166" s="29"/>
      <c r="N166" s="29"/>
      <c r="O166" s="29"/>
      <c r="P166" s="29"/>
    </row>
    <row r="167">
      <c r="A167" s="28"/>
      <c r="B167" s="29"/>
      <c r="C167" s="29"/>
      <c r="D167" s="29"/>
      <c r="E167" s="29"/>
      <c r="F167" s="30"/>
      <c r="G167" s="29"/>
      <c r="H167" s="29"/>
      <c r="I167" s="29"/>
      <c r="J167" s="30"/>
      <c r="K167" s="29"/>
      <c r="L167" s="29"/>
      <c r="M167" s="29"/>
      <c r="N167" s="29"/>
      <c r="O167" s="29"/>
      <c r="P167" s="29"/>
    </row>
    <row r="168">
      <c r="A168" s="28"/>
      <c r="B168" s="29"/>
      <c r="C168" s="29"/>
      <c r="D168" s="29"/>
      <c r="E168" s="29"/>
      <c r="F168" s="30"/>
      <c r="G168" s="29"/>
      <c r="H168" s="29"/>
      <c r="I168" s="29"/>
      <c r="J168" s="30"/>
      <c r="K168" s="29"/>
      <c r="L168" s="29"/>
      <c r="M168" s="29"/>
      <c r="N168" s="29"/>
      <c r="O168" s="29"/>
      <c r="P168" s="29"/>
    </row>
    <row r="169">
      <c r="A169" s="28"/>
      <c r="B169" s="29"/>
      <c r="C169" s="29"/>
      <c r="D169" s="29"/>
      <c r="E169" s="29"/>
      <c r="F169" s="30"/>
      <c r="G169" s="29"/>
      <c r="H169" s="29"/>
      <c r="I169" s="29"/>
      <c r="J169" s="30"/>
      <c r="K169" s="29"/>
      <c r="L169" s="29"/>
      <c r="M169" s="29"/>
      <c r="N169" s="29"/>
      <c r="O169" s="29"/>
      <c r="P169" s="29"/>
    </row>
    <row r="170">
      <c r="A170" s="28"/>
      <c r="B170" s="29"/>
      <c r="C170" s="29"/>
      <c r="D170" s="29"/>
      <c r="E170" s="29"/>
      <c r="F170" s="30"/>
      <c r="G170" s="29"/>
      <c r="H170" s="29"/>
      <c r="I170" s="29"/>
      <c r="J170" s="30"/>
      <c r="K170" s="29"/>
      <c r="L170" s="29"/>
      <c r="M170" s="29"/>
      <c r="N170" s="29"/>
      <c r="O170" s="29"/>
      <c r="P170" s="29"/>
    </row>
    <row r="171">
      <c r="A171" s="28"/>
      <c r="B171" s="29"/>
      <c r="C171" s="29"/>
      <c r="D171" s="29"/>
      <c r="E171" s="29"/>
      <c r="F171" s="30"/>
      <c r="G171" s="29"/>
      <c r="H171" s="29"/>
      <c r="I171" s="29"/>
      <c r="J171" s="30"/>
      <c r="K171" s="29"/>
      <c r="L171" s="29"/>
      <c r="M171" s="29"/>
      <c r="N171" s="29"/>
      <c r="O171" s="29"/>
      <c r="P171" s="29"/>
    </row>
    <row r="172">
      <c r="A172" s="28"/>
      <c r="B172" s="29"/>
      <c r="C172" s="29"/>
      <c r="D172" s="29"/>
      <c r="E172" s="29"/>
      <c r="F172" s="30"/>
      <c r="G172" s="29"/>
      <c r="H172" s="29"/>
      <c r="I172" s="29"/>
      <c r="J172" s="30"/>
      <c r="K172" s="29"/>
      <c r="L172" s="29"/>
      <c r="M172" s="29"/>
      <c r="N172" s="29"/>
      <c r="O172" s="29"/>
      <c r="P172" s="29"/>
    </row>
    <row r="173">
      <c r="A173" s="28"/>
      <c r="B173" s="29"/>
      <c r="C173" s="29"/>
      <c r="D173" s="29"/>
      <c r="E173" s="29"/>
      <c r="F173" s="30"/>
      <c r="G173" s="29"/>
      <c r="H173" s="29"/>
      <c r="I173" s="29"/>
      <c r="J173" s="30"/>
      <c r="K173" s="29"/>
      <c r="L173" s="29"/>
      <c r="M173" s="29"/>
      <c r="N173" s="29"/>
      <c r="O173" s="29"/>
      <c r="P173" s="29"/>
    </row>
    <row r="174">
      <c r="A174" s="28"/>
      <c r="B174" s="29"/>
      <c r="C174" s="29"/>
      <c r="D174" s="29"/>
      <c r="E174" s="29"/>
      <c r="F174" s="30"/>
      <c r="G174" s="29"/>
      <c r="H174" s="29"/>
      <c r="I174" s="29"/>
      <c r="J174" s="29"/>
      <c r="K174" s="29"/>
      <c r="L174" s="29"/>
      <c r="M174" s="29"/>
      <c r="N174" s="29"/>
      <c r="O174" s="29"/>
      <c r="P174" s="29"/>
    </row>
    <row r="175">
      <c r="A175" s="28"/>
      <c r="B175" s="29"/>
      <c r="C175" s="29"/>
      <c r="D175" s="29"/>
      <c r="E175" s="29"/>
      <c r="F175" s="30"/>
      <c r="G175" s="29"/>
      <c r="H175" s="29"/>
      <c r="I175" s="29"/>
      <c r="J175" s="30"/>
      <c r="K175" s="29"/>
      <c r="L175" s="29"/>
      <c r="M175" s="29"/>
      <c r="N175" s="29"/>
      <c r="O175" s="29"/>
      <c r="P175" s="29"/>
    </row>
    <row r="176">
      <c r="A176" s="28"/>
      <c r="B176" s="29"/>
      <c r="C176" s="29"/>
      <c r="D176" s="29"/>
      <c r="E176" s="29"/>
      <c r="F176" s="30"/>
      <c r="G176" s="29"/>
      <c r="H176" s="29"/>
      <c r="I176" s="29"/>
      <c r="J176" s="30"/>
      <c r="K176" s="29"/>
      <c r="L176" s="29"/>
      <c r="M176" s="29"/>
      <c r="N176" s="29"/>
      <c r="O176" s="29"/>
      <c r="P176" s="29"/>
    </row>
    <row r="177">
      <c r="A177" s="28"/>
      <c r="B177" s="29"/>
      <c r="C177" s="29"/>
      <c r="D177" s="29"/>
      <c r="E177" s="29"/>
      <c r="F177" s="30"/>
      <c r="G177" s="29"/>
      <c r="H177" s="29"/>
      <c r="I177" s="29"/>
      <c r="J177" s="30"/>
      <c r="K177" s="29"/>
      <c r="L177" s="29"/>
      <c r="M177" s="29"/>
      <c r="N177" s="29"/>
      <c r="O177" s="29"/>
      <c r="P177" s="29"/>
    </row>
    <row r="178">
      <c r="A178" s="28"/>
      <c r="B178" s="29"/>
      <c r="C178" s="29"/>
      <c r="D178" s="29"/>
      <c r="E178" s="29"/>
      <c r="F178" s="29"/>
      <c r="G178" s="29"/>
      <c r="H178" s="29"/>
      <c r="I178" s="29"/>
      <c r="J178" s="29"/>
      <c r="K178" s="29"/>
      <c r="L178" s="29"/>
      <c r="M178" s="29"/>
      <c r="N178" s="29"/>
      <c r="O178" s="29"/>
      <c r="P178" s="29"/>
    </row>
    <row r="179">
      <c r="A179" s="28"/>
      <c r="B179" s="29"/>
      <c r="C179" s="29"/>
      <c r="D179" s="29"/>
      <c r="E179" s="29"/>
      <c r="F179" s="30"/>
      <c r="G179" s="29"/>
      <c r="H179" s="29"/>
      <c r="I179" s="29"/>
      <c r="J179" s="30"/>
      <c r="K179" s="29"/>
      <c r="L179" s="29"/>
      <c r="M179" s="29"/>
      <c r="N179" s="29"/>
      <c r="O179" s="29"/>
      <c r="P179" s="29"/>
    </row>
    <row r="180">
      <c r="A180" s="28"/>
      <c r="B180" s="29"/>
      <c r="C180" s="29"/>
      <c r="D180" s="29"/>
      <c r="E180" s="29"/>
      <c r="F180" s="29"/>
      <c r="G180" s="29"/>
      <c r="H180" s="29"/>
      <c r="I180" s="29"/>
      <c r="J180" s="29"/>
      <c r="K180" s="29"/>
      <c r="L180" s="29"/>
      <c r="M180" s="29"/>
      <c r="N180" s="29"/>
      <c r="O180" s="29"/>
      <c r="P180" s="29"/>
    </row>
    <row r="181">
      <c r="A181" s="28"/>
      <c r="B181" s="29"/>
      <c r="C181" s="29"/>
      <c r="D181" s="29"/>
      <c r="E181" s="29"/>
      <c r="F181" s="30"/>
      <c r="G181" s="29"/>
      <c r="H181" s="29"/>
      <c r="I181" s="29"/>
      <c r="J181" s="30"/>
      <c r="K181" s="30"/>
      <c r="L181" s="29"/>
      <c r="M181" s="29"/>
      <c r="N181" s="29"/>
      <c r="O181" s="29"/>
      <c r="P181" s="29"/>
    </row>
    <row r="182">
      <c r="A182" s="28"/>
      <c r="B182" s="29"/>
      <c r="C182" s="29"/>
      <c r="D182" s="29"/>
      <c r="E182" s="29"/>
      <c r="F182" s="30"/>
      <c r="G182" s="29"/>
      <c r="H182" s="29"/>
      <c r="I182" s="29"/>
      <c r="J182" s="29"/>
      <c r="K182" s="29"/>
      <c r="L182" s="29"/>
      <c r="M182" s="29"/>
      <c r="N182" s="29"/>
      <c r="O182" s="29"/>
      <c r="P182" s="29"/>
    </row>
    <row r="183">
      <c r="A183" s="28"/>
      <c r="B183" s="29"/>
      <c r="C183" s="29"/>
      <c r="D183" s="29"/>
      <c r="E183" s="29"/>
      <c r="F183" s="30"/>
      <c r="G183" s="29"/>
      <c r="H183" s="29"/>
      <c r="I183" s="29"/>
      <c r="J183" s="30"/>
      <c r="K183" s="29"/>
      <c r="L183" s="29"/>
      <c r="M183" s="29"/>
      <c r="N183" s="29"/>
      <c r="O183" s="29"/>
      <c r="P183" s="29"/>
    </row>
    <row r="184">
      <c r="A184" s="28"/>
      <c r="B184" s="29"/>
      <c r="C184" s="29"/>
      <c r="D184" s="29"/>
      <c r="E184" s="29"/>
      <c r="F184" s="29"/>
      <c r="G184" s="29"/>
      <c r="H184" s="29"/>
      <c r="I184" s="29"/>
      <c r="J184" s="29"/>
      <c r="K184" s="29"/>
      <c r="L184" s="29"/>
      <c r="M184" s="29"/>
      <c r="N184" s="29"/>
      <c r="O184" s="29"/>
      <c r="P184" s="29"/>
    </row>
    <row r="185">
      <c r="A185" s="28"/>
      <c r="B185" s="29"/>
      <c r="C185" s="29"/>
      <c r="D185" s="29"/>
      <c r="E185" s="29"/>
      <c r="F185" s="30"/>
      <c r="G185" s="29"/>
      <c r="H185" s="29"/>
      <c r="I185" s="29"/>
      <c r="J185" s="30"/>
      <c r="K185" s="29"/>
      <c r="L185" s="29"/>
      <c r="M185" s="29"/>
      <c r="N185" s="29"/>
      <c r="O185" s="29"/>
      <c r="P185" s="29"/>
    </row>
    <row r="186">
      <c r="A186" s="28"/>
      <c r="B186" s="29"/>
      <c r="C186" s="29"/>
      <c r="D186" s="29"/>
      <c r="E186" s="29"/>
      <c r="F186" s="30"/>
      <c r="G186" s="29"/>
      <c r="H186" s="30"/>
      <c r="I186" s="29"/>
      <c r="J186" s="30"/>
      <c r="K186" s="29"/>
      <c r="L186" s="29"/>
      <c r="M186" s="29"/>
      <c r="N186" s="29"/>
      <c r="O186" s="29"/>
      <c r="P186" s="29"/>
    </row>
    <row r="187">
      <c r="A187" s="28"/>
      <c r="B187" s="29"/>
      <c r="C187" s="29"/>
      <c r="D187" s="29"/>
      <c r="E187" s="29"/>
      <c r="F187" s="30"/>
      <c r="G187" s="29"/>
      <c r="H187" s="29"/>
      <c r="I187" s="29"/>
      <c r="J187" s="30"/>
      <c r="K187" s="29"/>
      <c r="L187" s="29"/>
      <c r="M187" s="29"/>
      <c r="N187" s="29"/>
      <c r="O187" s="29"/>
      <c r="P187" s="29"/>
    </row>
    <row r="188">
      <c r="A188" s="28"/>
      <c r="B188" s="29"/>
      <c r="C188" s="29"/>
      <c r="D188" s="29"/>
      <c r="E188" s="29"/>
      <c r="F188" s="30"/>
      <c r="G188" s="29"/>
      <c r="H188" s="29"/>
      <c r="I188" s="29"/>
      <c r="J188" s="30"/>
      <c r="K188" s="29"/>
      <c r="L188" s="29"/>
      <c r="M188" s="29"/>
      <c r="N188" s="29"/>
      <c r="O188" s="29"/>
      <c r="P188" s="29"/>
    </row>
    <row r="189">
      <c r="A189" s="28"/>
      <c r="B189" s="29"/>
      <c r="C189" s="29"/>
      <c r="D189" s="29"/>
      <c r="E189" s="29"/>
      <c r="F189" s="30"/>
      <c r="G189" s="29"/>
      <c r="H189" s="29"/>
      <c r="I189" s="29"/>
      <c r="J189" s="30"/>
      <c r="K189" s="29"/>
      <c r="L189" s="29"/>
      <c r="M189" s="29"/>
      <c r="N189" s="29"/>
      <c r="O189" s="29"/>
      <c r="P189" s="29"/>
    </row>
    <row r="190">
      <c r="A190" s="28"/>
      <c r="B190" s="29"/>
      <c r="C190" s="29"/>
      <c r="D190" s="29"/>
      <c r="E190" s="29"/>
      <c r="F190" s="30"/>
      <c r="G190" s="29"/>
      <c r="H190" s="29"/>
      <c r="I190" s="29"/>
      <c r="J190" s="30"/>
      <c r="K190" s="29"/>
      <c r="L190" s="29"/>
      <c r="M190" s="29"/>
      <c r="N190" s="29"/>
      <c r="O190" s="29"/>
      <c r="P190" s="29"/>
    </row>
    <row r="191">
      <c r="A191" s="28"/>
      <c r="B191" s="29"/>
      <c r="C191" s="29"/>
      <c r="D191" s="29"/>
      <c r="E191" s="29"/>
      <c r="F191" s="30"/>
      <c r="G191" s="29"/>
      <c r="H191" s="29"/>
      <c r="I191" s="29"/>
      <c r="J191" s="30"/>
      <c r="K191" s="29"/>
      <c r="L191" s="29"/>
      <c r="M191" s="29"/>
      <c r="N191" s="29"/>
      <c r="O191" s="29"/>
      <c r="P191" s="29"/>
    </row>
    <row r="192">
      <c r="A192" s="28"/>
      <c r="B192" s="29"/>
      <c r="C192" s="29"/>
      <c r="D192" s="29"/>
      <c r="E192" s="29"/>
      <c r="F192" s="30"/>
      <c r="G192" s="29"/>
      <c r="H192" s="29"/>
      <c r="I192" s="29"/>
      <c r="J192" s="30"/>
      <c r="K192" s="29"/>
      <c r="L192" s="29"/>
      <c r="M192" s="29"/>
      <c r="N192" s="29"/>
      <c r="O192" s="29"/>
      <c r="P192" s="29"/>
    </row>
    <row r="193">
      <c r="A193" s="28"/>
      <c r="B193" s="29"/>
      <c r="C193" s="29"/>
      <c r="D193" s="29"/>
      <c r="E193" s="29"/>
      <c r="F193" s="30"/>
      <c r="G193" s="29"/>
      <c r="H193" s="29"/>
      <c r="I193" s="29"/>
      <c r="J193" s="30"/>
      <c r="K193" s="29"/>
      <c r="L193" s="29"/>
      <c r="M193" s="29"/>
      <c r="N193" s="29"/>
      <c r="O193" s="29"/>
      <c r="P193" s="29"/>
    </row>
    <row r="194">
      <c r="A194" s="28"/>
      <c r="B194" s="29"/>
      <c r="C194" s="29"/>
      <c r="D194" s="29"/>
      <c r="E194" s="29"/>
      <c r="F194" s="30"/>
      <c r="G194" s="29"/>
      <c r="H194" s="29"/>
      <c r="I194" s="29"/>
      <c r="J194" s="30"/>
      <c r="K194" s="30"/>
      <c r="L194" s="29"/>
      <c r="M194" s="29"/>
      <c r="N194" s="29"/>
      <c r="O194" s="29"/>
      <c r="P194" s="29"/>
    </row>
    <row r="195">
      <c r="A195" s="28"/>
      <c r="B195" s="29"/>
      <c r="C195" s="29"/>
      <c r="D195" s="29"/>
      <c r="E195" s="29"/>
      <c r="F195" s="30"/>
      <c r="G195" s="29"/>
      <c r="H195" s="29"/>
      <c r="I195" s="29"/>
      <c r="J195" s="30"/>
      <c r="K195" s="29"/>
      <c r="L195" s="29"/>
      <c r="M195" s="29"/>
      <c r="N195" s="29"/>
      <c r="O195" s="29"/>
      <c r="P195" s="29"/>
    </row>
    <row r="196">
      <c r="A196" s="28"/>
      <c r="B196" s="29"/>
      <c r="C196" s="29"/>
      <c r="D196" s="29"/>
      <c r="E196" s="29"/>
      <c r="F196" s="30"/>
      <c r="G196" s="29"/>
      <c r="H196" s="29"/>
      <c r="I196" s="29"/>
      <c r="J196" s="30"/>
      <c r="K196" s="29"/>
      <c r="L196" s="29"/>
      <c r="M196" s="29"/>
      <c r="N196" s="29"/>
      <c r="O196" s="29"/>
      <c r="P196" s="29"/>
    </row>
    <row r="197">
      <c r="A197" s="28"/>
      <c r="B197" s="29"/>
      <c r="C197" s="29"/>
      <c r="D197" s="29"/>
      <c r="E197" s="29"/>
      <c r="F197" s="30"/>
      <c r="G197" s="29"/>
      <c r="H197" s="29"/>
      <c r="I197" s="29"/>
      <c r="J197" s="30"/>
      <c r="K197" s="29"/>
      <c r="L197" s="30"/>
      <c r="M197" s="29"/>
      <c r="N197" s="29"/>
      <c r="O197" s="29"/>
      <c r="P197" s="29"/>
    </row>
    <row r="198">
      <c r="A198" s="28"/>
      <c r="B198" s="29"/>
      <c r="C198" s="29"/>
      <c r="D198" s="29"/>
      <c r="E198" s="29"/>
      <c r="F198" s="30"/>
      <c r="G198" s="29"/>
      <c r="H198" s="29"/>
      <c r="I198" s="29"/>
      <c r="J198" s="30"/>
      <c r="K198" s="29"/>
      <c r="L198" s="29"/>
      <c r="M198" s="29"/>
      <c r="N198" s="29"/>
      <c r="O198" s="29"/>
      <c r="P198" s="29"/>
    </row>
    <row r="199">
      <c r="A199" s="28"/>
      <c r="B199" s="29"/>
      <c r="C199" s="29"/>
      <c r="D199" s="29"/>
      <c r="E199" s="29"/>
      <c r="F199" s="30"/>
      <c r="G199" s="29"/>
      <c r="H199" s="29"/>
      <c r="I199" s="29"/>
      <c r="J199" s="30"/>
      <c r="K199" s="29"/>
      <c r="L199" s="29"/>
      <c r="M199" s="29"/>
      <c r="N199" s="29"/>
      <c r="O199" s="29"/>
      <c r="P199" s="29"/>
    </row>
    <row r="200">
      <c r="A200" s="28"/>
      <c r="B200" s="29"/>
      <c r="C200" s="29"/>
      <c r="D200" s="29"/>
      <c r="E200" s="29"/>
      <c r="F200" s="29"/>
      <c r="G200" s="29"/>
      <c r="H200" s="29"/>
      <c r="I200" s="29"/>
      <c r="J200" s="30"/>
      <c r="K200" s="30"/>
      <c r="L200" s="29"/>
      <c r="M200" s="29"/>
      <c r="N200" s="29"/>
      <c r="O200" s="29"/>
      <c r="P200" s="29"/>
    </row>
    <row r="201">
      <c r="A201" s="28"/>
      <c r="B201" s="29"/>
      <c r="C201" s="29"/>
      <c r="D201" s="29"/>
      <c r="E201" s="29"/>
      <c r="F201" s="30"/>
      <c r="G201" s="29"/>
      <c r="H201" s="29"/>
      <c r="I201" s="29"/>
      <c r="J201" s="30"/>
      <c r="K201" s="29"/>
      <c r="L201" s="29"/>
      <c r="M201" s="29"/>
      <c r="N201" s="29"/>
      <c r="O201" s="29"/>
      <c r="P201" s="29"/>
    </row>
    <row r="202">
      <c r="A202" s="28"/>
      <c r="B202" s="29"/>
      <c r="C202" s="29"/>
      <c r="D202" s="29"/>
      <c r="E202" s="29"/>
      <c r="F202" s="29"/>
      <c r="G202" s="29"/>
      <c r="H202" s="29"/>
      <c r="I202" s="29"/>
      <c r="J202" s="29"/>
      <c r="K202" s="29"/>
      <c r="L202" s="29"/>
      <c r="M202" s="29"/>
      <c r="N202" s="29"/>
      <c r="O202" s="29"/>
      <c r="P202" s="29"/>
    </row>
    <row r="203">
      <c r="A203" s="28"/>
      <c r="B203" s="29"/>
      <c r="C203" s="29"/>
      <c r="D203" s="29"/>
      <c r="E203" s="29"/>
      <c r="F203" s="30"/>
      <c r="G203" s="29"/>
      <c r="H203" s="29"/>
      <c r="I203" s="29"/>
      <c r="J203" s="30"/>
      <c r="K203" s="29"/>
      <c r="L203" s="29"/>
      <c r="M203" s="29"/>
      <c r="N203" s="29"/>
      <c r="O203" s="29"/>
      <c r="P203" s="29"/>
    </row>
    <row r="204">
      <c r="A204" s="28"/>
      <c r="B204" s="29"/>
      <c r="C204" s="29"/>
      <c r="D204" s="29"/>
      <c r="E204" s="29"/>
      <c r="F204" s="30"/>
      <c r="G204" s="29"/>
      <c r="H204" s="29"/>
      <c r="I204" s="29"/>
      <c r="J204" s="30"/>
      <c r="K204" s="29"/>
      <c r="L204" s="29"/>
      <c r="M204" s="29"/>
      <c r="N204" s="29"/>
      <c r="O204" s="29"/>
      <c r="P204" s="29"/>
    </row>
    <row r="205">
      <c r="A205" s="28"/>
      <c r="B205" s="29"/>
      <c r="C205" s="29"/>
      <c r="D205" s="29"/>
      <c r="E205" s="29"/>
      <c r="F205" s="30"/>
      <c r="G205" s="29"/>
      <c r="H205" s="30"/>
      <c r="I205" s="29"/>
      <c r="J205" s="30"/>
      <c r="K205" s="29"/>
      <c r="L205" s="29"/>
      <c r="M205" s="29"/>
      <c r="N205" s="29"/>
      <c r="O205" s="29"/>
      <c r="P205" s="29"/>
    </row>
    <row r="206">
      <c r="A206" s="28"/>
      <c r="B206" s="29"/>
      <c r="C206" s="29"/>
      <c r="D206" s="29"/>
      <c r="E206" s="29"/>
      <c r="F206" s="29"/>
      <c r="G206" s="29"/>
      <c r="H206" s="29"/>
      <c r="I206" s="29"/>
      <c r="J206" s="30"/>
      <c r="K206" s="29"/>
      <c r="L206" s="29"/>
      <c r="M206" s="29"/>
      <c r="N206" s="29"/>
      <c r="O206" s="29"/>
      <c r="P206" s="29"/>
    </row>
    <row r="207">
      <c r="A207" s="28"/>
      <c r="B207" s="29"/>
      <c r="C207" s="29"/>
      <c r="D207" s="29"/>
      <c r="E207" s="29"/>
      <c r="F207" s="30"/>
      <c r="G207" s="29"/>
      <c r="H207" s="29"/>
      <c r="I207" s="29"/>
      <c r="J207" s="30"/>
      <c r="K207" s="29"/>
      <c r="L207" s="29"/>
      <c r="M207" s="29"/>
      <c r="N207" s="29"/>
      <c r="O207" s="29"/>
      <c r="P207" s="29"/>
    </row>
    <row r="208">
      <c r="A208" s="28"/>
      <c r="B208" s="29"/>
      <c r="C208" s="29"/>
      <c r="D208" s="29"/>
      <c r="E208" s="29"/>
      <c r="F208" s="30"/>
      <c r="G208" s="29"/>
      <c r="H208" s="29"/>
      <c r="I208" s="30"/>
      <c r="J208" s="30"/>
      <c r="K208" s="29"/>
      <c r="L208" s="29"/>
      <c r="M208" s="29"/>
      <c r="N208" s="29"/>
      <c r="O208" s="29"/>
      <c r="P208" s="29"/>
    </row>
    <row r="209">
      <c r="A209" s="28"/>
      <c r="B209" s="29"/>
      <c r="C209" s="29"/>
      <c r="D209" s="29"/>
      <c r="E209" s="29"/>
      <c r="F209" s="30"/>
      <c r="G209" s="29"/>
      <c r="H209" s="29"/>
      <c r="I209" s="29"/>
      <c r="J209" s="29"/>
      <c r="K209" s="29"/>
      <c r="L209" s="29"/>
      <c r="M209" s="29"/>
      <c r="N209" s="29"/>
      <c r="O209" s="29"/>
      <c r="P209" s="29"/>
    </row>
    <row r="210">
      <c r="A210" s="28"/>
      <c r="B210" s="29"/>
      <c r="C210" s="29"/>
      <c r="D210" s="29"/>
      <c r="E210" s="29"/>
      <c r="F210" s="29"/>
      <c r="G210" s="29"/>
      <c r="H210" s="29"/>
      <c r="I210" s="29"/>
      <c r="J210" s="30"/>
      <c r="K210" s="29"/>
      <c r="L210" s="29"/>
      <c r="M210" s="29"/>
      <c r="N210" s="29"/>
      <c r="O210" s="29"/>
      <c r="P210" s="29"/>
    </row>
    <row r="211">
      <c r="A211" s="28"/>
      <c r="B211" s="29"/>
      <c r="C211" s="29"/>
      <c r="D211" s="29"/>
      <c r="E211" s="29"/>
      <c r="F211" s="30"/>
      <c r="G211" s="29"/>
      <c r="H211" s="29"/>
      <c r="I211" s="29"/>
      <c r="J211" s="30"/>
      <c r="K211" s="29"/>
      <c r="L211" s="29"/>
      <c r="M211" s="29"/>
      <c r="N211" s="29"/>
      <c r="O211" s="29"/>
      <c r="P211" s="29"/>
    </row>
    <row r="212">
      <c r="A212" s="28"/>
      <c r="B212" s="29"/>
      <c r="C212" s="29"/>
      <c r="D212" s="29"/>
      <c r="E212" s="29"/>
      <c r="F212" s="30"/>
      <c r="G212" s="29"/>
      <c r="H212" s="29"/>
      <c r="I212" s="29"/>
      <c r="J212" s="30"/>
      <c r="K212" s="29"/>
      <c r="L212" s="29"/>
      <c r="M212" s="29"/>
      <c r="N212" s="29"/>
      <c r="O212" s="29"/>
      <c r="P212" s="29"/>
    </row>
    <row r="213">
      <c r="A213" s="28"/>
      <c r="B213" s="29"/>
      <c r="C213" s="29"/>
      <c r="D213" s="29"/>
      <c r="E213" s="29"/>
      <c r="F213" s="30"/>
      <c r="G213" s="29"/>
      <c r="H213" s="29"/>
      <c r="I213" s="29"/>
      <c r="J213" s="30"/>
      <c r="K213" s="29"/>
      <c r="L213" s="29"/>
      <c r="M213" s="29"/>
      <c r="N213" s="29"/>
      <c r="O213" s="29"/>
      <c r="P213" s="29"/>
    </row>
    <row r="214">
      <c r="A214" s="28"/>
      <c r="B214" s="29"/>
      <c r="C214" s="29"/>
      <c r="D214" s="29"/>
      <c r="E214" s="29"/>
      <c r="F214" s="29"/>
      <c r="G214" s="29"/>
      <c r="H214" s="29"/>
      <c r="I214" s="29"/>
      <c r="J214" s="29"/>
      <c r="K214" s="29"/>
      <c r="L214" s="29"/>
      <c r="M214" s="29"/>
      <c r="N214" s="29"/>
      <c r="O214" s="29"/>
      <c r="P214" s="29"/>
    </row>
    <row r="215">
      <c r="A215" s="28"/>
      <c r="B215" s="29"/>
      <c r="C215" s="29"/>
      <c r="D215" s="29"/>
      <c r="E215" s="29"/>
      <c r="F215" s="30"/>
      <c r="G215" s="29"/>
      <c r="H215" s="29"/>
      <c r="I215" s="29"/>
      <c r="J215" s="30"/>
      <c r="K215" s="29"/>
      <c r="L215" s="29"/>
      <c r="M215" s="29"/>
      <c r="N215" s="29"/>
      <c r="O215" s="29"/>
      <c r="P215" s="29"/>
    </row>
    <row r="216">
      <c r="A216" s="28"/>
      <c r="B216" s="29"/>
      <c r="C216" s="29"/>
      <c r="D216" s="29"/>
      <c r="E216" s="29"/>
      <c r="F216" s="30"/>
      <c r="G216" s="29"/>
      <c r="H216" s="29"/>
      <c r="I216" s="29"/>
      <c r="J216" s="30"/>
      <c r="K216" s="29"/>
      <c r="L216" s="29"/>
      <c r="M216" s="29"/>
      <c r="N216" s="29"/>
      <c r="O216" s="29"/>
      <c r="P216" s="29"/>
    </row>
    <row r="217">
      <c r="A217" s="28"/>
      <c r="B217" s="29"/>
      <c r="C217" s="29"/>
      <c r="D217" s="29"/>
      <c r="E217" s="29"/>
      <c r="F217" s="30"/>
      <c r="G217" s="29"/>
      <c r="H217" s="29"/>
      <c r="I217" s="29"/>
      <c r="J217" s="30"/>
      <c r="K217" s="29"/>
      <c r="L217" s="29"/>
      <c r="M217" s="29"/>
      <c r="N217" s="29"/>
      <c r="O217" s="29"/>
      <c r="P217" s="29"/>
    </row>
    <row r="218">
      <c r="A218" s="28"/>
      <c r="B218" s="29"/>
      <c r="C218" s="29"/>
      <c r="D218" s="29"/>
      <c r="E218" s="29"/>
      <c r="F218" s="30"/>
      <c r="G218" s="29"/>
      <c r="H218" s="29"/>
      <c r="I218" s="29"/>
      <c r="J218" s="30"/>
      <c r="K218" s="29"/>
      <c r="L218" s="30"/>
      <c r="M218" s="29"/>
      <c r="N218" s="29"/>
      <c r="O218" s="29"/>
      <c r="P218" s="29"/>
    </row>
    <row r="219">
      <c r="A219" s="28"/>
      <c r="B219" s="29"/>
      <c r="C219" s="29"/>
      <c r="D219" s="29"/>
      <c r="E219" s="29"/>
      <c r="F219" s="30"/>
      <c r="G219" s="29"/>
      <c r="H219" s="29"/>
      <c r="I219" s="29"/>
      <c r="J219" s="30"/>
      <c r="K219" s="29"/>
      <c r="L219" s="29"/>
      <c r="M219" s="29"/>
      <c r="N219" s="29"/>
      <c r="O219" s="29"/>
      <c r="P219" s="29"/>
    </row>
    <row r="220">
      <c r="A220" s="28"/>
      <c r="B220" s="29"/>
      <c r="C220" s="29"/>
      <c r="D220" s="29"/>
      <c r="E220" s="29"/>
      <c r="F220" s="30"/>
      <c r="G220" s="29"/>
      <c r="H220" s="29"/>
      <c r="I220" s="29"/>
      <c r="J220" s="30"/>
      <c r="K220" s="29"/>
      <c r="L220" s="29"/>
      <c r="M220" s="29"/>
      <c r="N220" s="29"/>
      <c r="O220" s="29"/>
      <c r="P220" s="29"/>
    </row>
    <row r="221">
      <c r="A221" s="28"/>
      <c r="B221" s="29"/>
      <c r="C221" s="29"/>
      <c r="D221" s="29"/>
      <c r="E221" s="29"/>
      <c r="F221" s="30"/>
      <c r="G221" s="29"/>
      <c r="H221" s="29"/>
      <c r="I221" s="29"/>
      <c r="J221" s="29"/>
      <c r="K221" s="29"/>
      <c r="L221" s="29"/>
      <c r="M221" s="29"/>
      <c r="N221" s="29"/>
      <c r="O221" s="29"/>
      <c r="P221" s="29"/>
    </row>
    <row r="222">
      <c r="A222" s="28"/>
      <c r="B222" s="29"/>
      <c r="C222" s="29"/>
      <c r="D222" s="29"/>
      <c r="E222" s="29"/>
      <c r="F222" s="30"/>
      <c r="G222" s="29"/>
      <c r="H222" s="29"/>
      <c r="I222" s="29"/>
      <c r="J222" s="30"/>
      <c r="K222" s="29"/>
      <c r="L222" s="30"/>
      <c r="M222" s="29"/>
      <c r="N222" s="29"/>
      <c r="O222" s="29"/>
      <c r="P222" s="29"/>
    </row>
    <row r="223">
      <c r="A223" s="28"/>
      <c r="B223" s="29"/>
      <c r="C223" s="29"/>
      <c r="D223" s="29"/>
      <c r="E223" s="29"/>
      <c r="F223" s="30"/>
      <c r="G223" s="29"/>
      <c r="H223" s="29"/>
      <c r="I223" s="29"/>
      <c r="J223" s="30"/>
      <c r="K223" s="29"/>
      <c r="L223" s="29"/>
      <c r="M223" s="29"/>
      <c r="N223" s="29"/>
      <c r="O223" s="29"/>
      <c r="P223" s="29"/>
    </row>
    <row r="224">
      <c r="A224" s="28"/>
      <c r="B224" s="29"/>
      <c r="C224" s="29"/>
      <c r="D224" s="29"/>
      <c r="E224" s="29"/>
      <c r="F224" s="30"/>
      <c r="G224" s="29"/>
      <c r="H224" s="29"/>
      <c r="I224" s="29"/>
      <c r="J224" s="30"/>
      <c r="K224" s="29"/>
      <c r="L224" s="29"/>
      <c r="M224" s="29"/>
      <c r="N224" s="29"/>
      <c r="O224" s="29"/>
      <c r="P224" s="29"/>
    </row>
    <row r="225">
      <c r="A225" s="28"/>
      <c r="B225" s="29"/>
      <c r="C225" s="29"/>
      <c r="D225" s="29"/>
      <c r="E225" s="29"/>
      <c r="F225" s="30"/>
      <c r="G225" s="29"/>
      <c r="H225" s="29"/>
      <c r="I225" s="29"/>
      <c r="J225" s="30"/>
      <c r="K225" s="29"/>
      <c r="L225" s="29"/>
      <c r="M225" s="29"/>
      <c r="N225" s="29"/>
      <c r="O225" s="29"/>
      <c r="P225" s="29"/>
    </row>
    <row r="226">
      <c r="A226" s="28"/>
      <c r="B226" s="29"/>
      <c r="C226" s="29"/>
      <c r="D226" s="29"/>
      <c r="E226" s="29"/>
      <c r="F226" s="30"/>
      <c r="G226" s="29"/>
      <c r="H226" s="29"/>
      <c r="I226" s="29"/>
      <c r="J226" s="30"/>
      <c r="K226" s="29"/>
      <c r="L226" s="29"/>
      <c r="M226" s="29"/>
      <c r="N226" s="29"/>
      <c r="O226" s="29"/>
      <c r="P226" s="29"/>
    </row>
    <row r="227">
      <c r="A227" s="28"/>
      <c r="B227" s="29"/>
      <c r="C227" s="29"/>
      <c r="D227" s="29"/>
      <c r="E227" s="29"/>
      <c r="F227" s="30"/>
      <c r="G227" s="29"/>
      <c r="H227" s="29"/>
      <c r="I227" s="29"/>
      <c r="J227" s="29"/>
      <c r="K227" s="29"/>
      <c r="L227" s="29"/>
      <c r="M227" s="29"/>
      <c r="N227" s="29"/>
      <c r="O227" s="29"/>
      <c r="P227" s="29"/>
    </row>
    <row r="228">
      <c r="A228" s="28"/>
      <c r="B228" s="29"/>
      <c r="C228" s="29"/>
      <c r="D228" s="29"/>
      <c r="E228" s="29"/>
      <c r="F228" s="30"/>
      <c r="G228" s="29"/>
      <c r="H228" s="29"/>
      <c r="I228" s="29"/>
      <c r="J228" s="30"/>
      <c r="K228" s="29"/>
      <c r="L228" s="29"/>
      <c r="M228" s="29"/>
      <c r="N228" s="29"/>
      <c r="O228" s="29"/>
      <c r="P228" s="29"/>
    </row>
    <row r="229">
      <c r="A229" s="28"/>
      <c r="B229" s="29"/>
      <c r="C229" s="29"/>
      <c r="D229" s="29"/>
      <c r="E229" s="29"/>
      <c r="F229" s="30"/>
      <c r="G229" s="29"/>
      <c r="H229" s="29"/>
      <c r="I229" s="29"/>
      <c r="J229" s="30"/>
      <c r="K229" s="29"/>
      <c r="L229" s="29"/>
      <c r="M229" s="29"/>
      <c r="N229" s="29"/>
      <c r="O229" s="29"/>
      <c r="P229" s="29"/>
    </row>
    <row r="230">
      <c r="A230" s="28"/>
      <c r="B230" s="29"/>
      <c r="C230" s="29"/>
      <c r="D230" s="29"/>
      <c r="E230" s="29"/>
      <c r="F230" s="30"/>
      <c r="G230" s="29"/>
      <c r="H230" s="29"/>
      <c r="I230" s="29"/>
      <c r="J230" s="30"/>
      <c r="K230" s="29"/>
      <c r="L230" s="29"/>
      <c r="M230" s="29"/>
      <c r="N230" s="29"/>
      <c r="O230" s="29"/>
      <c r="P230" s="29"/>
    </row>
    <row r="231">
      <c r="A231" s="28"/>
      <c r="B231" s="29"/>
      <c r="C231" s="29"/>
      <c r="D231" s="29"/>
      <c r="E231" s="29"/>
      <c r="F231" s="29"/>
      <c r="G231" s="29"/>
      <c r="H231" s="29"/>
      <c r="I231" s="29"/>
      <c r="J231" s="29"/>
      <c r="K231" s="29"/>
      <c r="L231" s="29"/>
      <c r="M231" s="29"/>
      <c r="N231" s="29"/>
      <c r="O231" s="29"/>
      <c r="P231" s="29"/>
    </row>
    <row r="232">
      <c r="A232" s="28"/>
      <c r="B232" s="29"/>
      <c r="C232" s="29"/>
      <c r="D232" s="29"/>
      <c r="E232" s="29"/>
      <c r="F232" s="29"/>
      <c r="G232" s="29"/>
      <c r="H232" s="29"/>
      <c r="I232" s="29"/>
      <c r="J232" s="29"/>
      <c r="K232" s="29"/>
      <c r="L232" s="29"/>
      <c r="M232" s="29"/>
      <c r="N232" s="29"/>
      <c r="O232" s="29"/>
      <c r="P232" s="29"/>
    </row>
    <row r="233">
      <c r="A233" s="28"/>
      <c r="B233" s="29"/>
      <c r="C233" s="29"/>
      <c r="D233" s="29"/>
      <c r="E233" s="29"/>
      <c r="F233" s="29"/>
      <c r="G233" s="29"/>
      <c r="H233" s="29"/>
      <c r="I233" s="29"/>
      <c r="J233" s="30"/>
      <c r="K233" s="29"/>
      <c r="L233" s="29"/>
      <c r="M233" s="29"/>
      <c r="N233" s="29"/>
      <c r="O233" s="29"/>
      <c r="P233" s="29"/>
    </row>
    <row r="234">
      <c r="A234" s="28"/>
      <c r="B234" s="29"/>
      <c r="C234" s="29"/>
      <c r="D234" s="29"/>
      <c r="E234" s="29"/>
      <c r="F234" s="30"/>
      <c r="G234" s="29"/>
      <c r="H234" s="29"/>
      <c r="I234" s="29"/>
      <c r="J234" s="30"/>
      <c r="K234" s="29"/>
      <c r="L234" s="29"/>
      <c r="M234" s="29"/>
      <c r="N234" s="29"/>
      <c r="O234" s="29"/>
      <c r="P234" s="29"/>
    </row>
    <row r="235">
      <c r="A235" s="28"/>
      <c r="B235" s="29"/>
      <c r="C235" s="29"/>
      <c r="D235" s="29"/>
      <c r="E235" s="29"/>
      <c r="F235" s="29"/>
      <c r="G235" s="29"/>
      <c r="H235" s="29"/>
      <c r="I235" s="29"/>
      <c r="J235" s="29"/>
      <c r="K235" s="29"/>
      <c r="L235" s="29"/>
      <c r="M235" s="29"/>
      <c r="N235" s="29"/>
      <c r="O235" s="29"/>
      <c r="P235" s="29"/>
    </row>
    <row r="236">
      <c r="A236" s="28"/>
      <c r="B236" s="29"/>
      <c r="C236" s="29"/>
      <c r="D236" s="29"/>
      <c r="E236" s="29"/>
      <c r="F236" s="30"/>
      <c r="G236" s="29"/>
      <c r="H236" s="29"/>
      <c r="I236" s="29"/>
      <c r="J236" s="30"/>
      <c r="K236" s="29"/>
      <c r="L236" s="29"/>
      <c r="M236" s="29"/>
      <c r="N236" s="29"/>
      <c r="O236" s="29"/>
      <c r="P236" s="29"/>
    </row>
    <row r="237">
      <c r="A237" s="28"/>
      <c r="B237" s="29"/>
      <c r="C237" s="29"/>
      <c r="D237" s="29"/>
      <c r="E237" s="29"/>
      <c r="F237" s="30"/>
      <c r="G237" s="29"/>
      <c r="H237" s="29"/>
      <c r="I237" s="29"/>
      <c r="J237" s="30"/>
      <c r="K237" s="29"/>
      <c r="L237" s="29"/>
      <c r="M237" s="29"/>
      <c r="N237" s="29"/>
      <c r="O237" s="29"/>
      <c r="P237" s="29"/>
    </row>
    <row r="238">
      <c r="A238" s="28"/>
      <c r="B238" s="29"/>
      <c r="C238" s="29"/>
      <c r="D238" s="29"/>
      <c r="E238" s="29"/>
      <c r="F238" s="30"/>
      <c r="G238" s="29"/>
      <c r="H238" s="29"/>
      <c r="I238" s="29"/>
      <c r="J238" s="30"/>
      <c r="K238" s="29"/>
      <c r="L238" s="29"/>
      <c r="M238" s="29"/>
      <c r="N238" s="29"/>
      <c r="O238" s="29"/>
      <c r="P238" s="29"/>
    </row>
    <row r="239">
      <c r="A239" s="28"/>
      <c r="B239" s="29"/>
      <c r="C239" s="29"/>
      <c r="D239" s="29"/>
      <c r="E239" s="29"/>
      <c r="F239" s="30"/>
      <c r="G239" s="29"/>
      <c r="H239" s="29"/>
      <c r="I239" s="29"/>
      <c r="J239" s="30"/>
      <c r="K239" s="29"/>
      <c r="L239" s="29"/>
      <c r="M239" s="29"/>
      <c r="N239" s="29"/>
      <c r="O239" s="29"/>
      <c r="P239" s="29"/>
    </row>
    <row r="240">
      <c r="A240" s="28"/>
      <c r="B240" s="29"/>
      <c r="C240" s="29"/>
      <c r="D240" s="29"/>
      <c r="E240" s="29"/>
      <c r="F240" s="30"/>
      <c r="G240" s="29"/>
      <c r="H240" s="29"/>
      <c r="I240" s="29"/>
      <c r="J240" s="30"/>
      <c r="K240" s="29"/>
      <c r="L240" s="29"/>
      <c r="M240" s="29"/>
      <c r="N240" s="29"/>
      <c r="O240" s="29"/>
      <c r="P240" s="29"/>
    </row>
    <row r="241">
      <c r="A241" s="28"/>
      <c r="B241" s="29"/>
      <c r="C241" s="29"/>
      <c r="D241" s="29"/>
      <c r="E241" s="29"/>
      <c r="F241" s="30"/>
      <c r="G241" s="29"/>
      <c r="H241" s="29"/>
      <c r="I241" s="29"/>
      <c r="J241" s="30"/>
      <c r="K241" s="29"/>
      <c r="L241" s="29"/>
      <c r="M241" s="29"/>
      <c r="N241" s="29"/>
      <c r="O241" s="29"/>
      <c r="P241" s="29"/>
    </row>
    <row r="242">
      <c r="A242" s="28"/>
      <c r="B242" s="29"/>
      <c r="C242" s="29"/>
      <c r="D242" s="29"/>
      <c r="E242" s="29"/>
      <c r="F242" s="29"/>
      <c r="G242" s="29"/>
      <c r="H242" s="29"/>
      <c r="I242" s="29"/>
      <c r="J242" s="29"/>
      <c r="K242" s="29"/>
      <c r="L242" s="29"/>
      <c r="M242" s="29"/>
      <c r="N242" s="29"/>
      <c r="O242" s="29"/>
      <c r="P242" s="29"/>
    </row>
    <row r="243">
      <c r="A243" s="28"/>
      <c r="B243" s="29"/>
      <c r="C243" s="29"/>
      <c r="D243" s="29"/>
      <c r="E243" s="29"/>
      <c r="F243" s="30"/>
      <c r="G243" s="29"/>
      <c r="H243" s="29"/>
      <c r="I243" s="29"/>
      <c r="J243" s="30"/>
      <c r="K243" s="29"/>
      <c r="L243" s="29"/>
      <c r="M243" s="29"/>
      <c r="N243" s="29"/>
      <c r="O243" s="29"/>
      <c r="P243" s="29"/>
    </row>
    <row r="244">
      <c r="A244" s="28"/>
      <c r="B244" s="29"/>
      <c r="C244" s="29"/>
      <c r="D244" s="29"/>
      <c r="E244" s="29"/>
      <c r="F244" s="30"/>
      <c r="G244" s="29"/>
      <c r="H244" s="29"/>
      <c r="I244" s="29"/>
      <c r="J244" s="30"/>
      <c r="K244" s="29"/>
      <c r="L244" s="29"/>
      <c r="M244" s="29"/>
      <c r="N244" s="29"/>
      <c r="O244" s="29"/>
      <c r="P244" s="29"/>
    </row>
    <row r="245">
      <c r="A245" s="28"/>
      <c r="B245" s="29"/>
      <c r="C245" s="29"/>
      <c r="D245" s="29"/>
      <c r="E245" s="29"/>
      <c r="F245" s="30"/>
      <c r="G245" s="29"/>
      <c r="H245" s="29"/>
      <c r="I245" s="29"/>
      <c r="J245" s="30"/>
      <c r="K245" s="29"/>
      <c r="L245" s="29"/>
      <c r="M245" s="29"/>
      <c r="N245" s="29"/>
      <c r="O245" s="29"/>
      <c r="P245" s="29"/>
    </row>
    <row r="246">
      <c r="A246" s="28"/>
      <c r="B246" s="29"/>
      <c r="C246" s="29"/>
      <c r="D246" s="29"/>
      <c r="E246" s="29"/>
      <c r="F246" s="30"/>
      <c r="G246" s="29"/>
      <c r="H246" s="29"/>
      <c r="I246" s="29"/>
      <c r="J246" s="30"/>
      <c r="K246" s="29"/>
      <c r="L246" s="29"/>
      <c r="M246" s="29"/>
      <c r="N246" s="29"/>
      <c r="O246" s="29"/>
      <c r="P246" s="29"/>
    </row>
    <row r="247">
      <c r="A247" s="28"/>
      <c r="B247" s="29"/>
      <c r="C247" s="29"/>
      <c r="D247" s="29"/>
      <c r="E247" s="29"/>
      <c r="F247" s="30"/>
      <c r="G247" s="29"/>
      <c r="H247" s="29"/>
      <c r="I247" s="29"/>
      <c r="J247" s="30"/>
      <c r="K247" s="29"/>
      <c r="L247" s="29"/>
      <c r="M247" s="29"/>
      <c r="N247" s="29"/>
      <c r="O247" s="29"/>
      <c r="P247" s="29"/>
    </row>
    <row r="248">
      <c r="A248" s="28"/>
      <c r="B248" s="29"/>
      <c r="C248" s="29"/>
      <c r="D248" s="29"/>
      <c r="E248" s="29"/>
      <c r="F248" s="30"/>
      <c r="G248" s="29"/>
      <c r="H248" s="29"/>
      <c r="I248" s="29"/>
      <c r="J248" s="30"/>
      <c r="K248" s="29"/>
      <c r="L248" s="29"/>
      <c r="M248" s="29"/>
      <c r="N248" s="29"/>
      <c r="O248" s="29"/>
      <c r="P248" s="29"/>
    </row>
    <row r="249">
      <c r="A249" s="28"/>
      <c r="B249" s="29"/>
      <c r="C249" s="29"/>
      <c r="D249" s="29"/>
      <c r="E249" s="29"/>
      <c r="F249" s="30"/>
      <c r="G249" s="29"/>
      <c r="H249" s="29"/>
      <c r="I249" s="29"/>
      <c r="J249" s="30"/>
      <c r="K249" s="29"/>
      <c r="L249" s="29"/>
      <c r="M249" s="29"/>
      <c r="N249" s="29"/>
      <c r="O249" s="29"/>
      <c r="P249" s="29"/>
    </row>
    <row r="250">
      <c r="A250" s="28"/>
      <c r="B250" s="29"/>
      <c r="C250" s="29"/>
      <c r="D250" s="29"/>
      <c r="E250" s="29"/>
      <c r="F250" s="30"/>
      <c r="G250" s="29"/>
      <c r="H250" s="29"/>
      <c r="I250" s="29"/>
      <c r="J250" s="30"/>
      <c r="K250" s="29"/>
      <c r="L250" s="29"/>
      <c r="M250" s="29"/>
      <c r="N250" s="29"/>
      <c r="O250" s="29"/>
      <c r="P250" s="29"/>
    </row>
    <row r="251">
      <c r="A251" s="28"/>
      <c r="B251" s="29"/>
      <c r="C251" s="29"/>
      <c r="D251" s="29"/>
      <c r="E251" s="29"/>
      <c r="F251" s="30"/>
      <c r="G251" s="29"/>
      <c r="H251" s="29"/>
      <c r="I251" s="29"/>
      <c r="J251" s="30"/>
      <c r="K251" s="29"/>
      <c r="L251" s="29"/>
      <c r="M251" s="29"/>
      <c r="N251" s="29"/>
      <c r="O251" s="29"/>
      <c r="P251" s="29"/>
    </row>
    <row r="252">
      <c r="A252" s="28"/>
      <c r="B252" s="29"/>
      <c r="C252" s="29"/>
      <c r="D252" s="29"/>
      <c r="E252" s="29"/>
      <c r="F252" s="30"/>
      <c r="G252" s="29"/>
      <c r="H252" s="29"/>
      <c r="I252" s="29"/>
      <c r="J252" s="30"/>
      <c r="K252" s="29"/>
      <c r="L252" s="29"/>
      <c r="M252" s="29"/>
      <c r="N252" s="29"/>
      <c r="O252" s="29"/>
      <c r="P252" s="29"/>
    </row>
    <row r="253">
      <c r="A253" s="28"/>
      <c r="B253" s="29"/>
      <c r="C253" s="29"/>
      <c r="D253" s="29"/>
      <c r="E253" s="29"/>
      <c r="F253" s="30"/>
      <c r="G253" s="29"/>
      <c r="H253" s="29"/>
      <c r="I253" s="29"/>
      <c r="J253" s="30"/>
      <c r="K253" s="29"/>
      <c r="L253" s="29"/>
      <c r="M253" s="29"/>
      <c r="N253" s="29"/>
      <c r="O253" s="29"/>
      <c r="P253" s="29"/>
    </row>
    <row r="254">
      <c r="A254" s="28"/>
      <c r="B254" s="29"/>
      <c r="C254" s="29"/>
      <c r="D254" s="29"/>
      <c r="E254" s="29"/>
      <c r="F254" s="30"/>
      <c r="G254" s="29"/>
      <c r="H254" s="30"/>
      <c r="I254" s="29"/>
      <c r="J254" s="30"/>
      <c r="K254" s="29"/>
      <c r="L254" s="29"/>
      <c r="M254" s="29"/>
      <c r="N254" s="29"/>
      <c r="O254" s="29"/>
      <c r="P254" s="29"/>
    </row>
    <row r="255">
      <c r="A255" s="28"/>
      <c r="B255" s="29"/>
      <c r="C255" s="29"/>
      <c r="D255" s="29"/>
      <c r="E255" s="29"/>
      <c r="F255" s="30"/>
      <c r="G255" s="29"/>
      <c r="H255" s="29"/>
      <c r="I255" s="29"/>
      <c r="J255" s="30"/>
      <c r="K255" s="29"/>
      <c r="L255" s="29"/>
      <c r="M255" s="29"/>
      <c r="N255" s="29"/>
      <c r="O255" s="29"/>
      <c r="P255" s="29"/>
    </row>
    <row r="256">
      <c r="A256" s="28"/>
      <c r="B256" s="29"/>
      <c r="C256" s="29"/>
      <c r="D256" s="29"/>
      <c r="E256" s="29"/>
      <c r="F256" s="29"/>
      <c r="G256" s="29"/>
      <c r="H256" s="29"/>
      <c r="I256" s="29"/>
      <c r="J256" s="29"/>
      <c r="K256" s="29"/>
      <c r="L256" s="29"/>
      <c r="M256" s="29"/>
      <c r="N256" s="29"/>
      <c r="O256" s="29"/>
      <c r="P256" s="29"/>
    </row>
    <row r="257">
      <c r="A257" s="28"/>
      <c r="B257" s="29"/>
      <c r="C257" s="29"/>
      <c r="D257" s="29"/>
      <c r="E257" s="29"/>
      <c r="F257" s="30"/>
      <c r="G257" s="29"/>
      <c r="H257" s="29"/>
      <c r="I257" s="29"/>
      <c r="J257" s="30"/>
      <c r="K257" s="30"/>
      <c r="L257" s="29"/>
      <c r="M257" s="29"/>
      <c r="N257" s="29"/>
      <c r="O257" s="29"/>
      <c r="P257" s="29"/>
    </row>
    <row r="258">
      <c r="A258" s="28"/>
      <c r="B258" s="29"/>
      <c r="C258" s="29"/>
      <c r="D258" s="29"/>
      <c r="E258" s="29"/>
      <c r="F258" s="30"/>
      <c r="G258" s="29"/>
      <c r="H258" s="29"/>
      <c r="I258" s="29"/>
      <c r="J258" s="30"/>
      <c r="K258" s="29"/>
      <c r="L258" s="29"/>
      <c r="M258" s="29"/>
      <c r="N258" s="29"/>
      <c r="O258" s="29"/>
      <c r="P258" s="29"/>
    </row>
    <row r="259">
      <c r="A259" s="28"/>
      <c r="B259" s="29"/>
      <c r="C259" s="29"/>
      <c r="D259" s="29"/>
      <c r="E259" s="29"/>
      <c r="F259" s="30"/>
      <c r="G259" s="29"/>
      <c r="H259" s="29"/>
      <c r="I259" s="29"/>
      <c r="J259" s="30"/>
      <c r="K259" s="29"/>
      <c r="L259" s="29"/>
      <c r="M259" s="29"/>
      <c r="N259" s="29"/>
      <c r="O259" s="29"/>
      <c r="P259" s="29"/>
    </row>
    <row r="260">
      <c r="A260" s="28"/>
      <c r="B260" s="29"/>
      <c r="C260" s="29"/>
      <c r="D260" s="29"/>
      <c r="E260" s="29"/>
      <c r="F260" s="30"/>
      <c r="G260" s="29"/>
      <c r="H260" s="29"/>
      <c r="I260" s="29"/>
      <c r="J260" s="29"/>
      <c r="K260" s="29"/>
      <c r="L260" s="29"/>
      <c r="M260" s="29"/>
      <c r="N260" s="29"/>
      <c r="O260" s="29"/>
      <c r="P260" s="29"/>
    </row>
    <row r="261">
      <c r="A261" s="28"/>
      <c r="B261" s="29"/>
      <c r="C261" s="29"/>
      <c r="D261" s="29"/>
      <c r="E261" s="29"/>
      <c r="F261" s="30"/>
      <c r="G261" s="29"/>
      <c r="H261" s="29"/>
      <c r="I261" s="29"/>
      <c r="J261" s="30"/>
      <c r="K261" s="30"/>
      <c r="L261" s="29"/>
      <c r="M261" s="29"/>
      <c r="N261" s="29"/>
      <c r="O261" s="29"/>
      <c r="P261" s="29"/>
    </row>
    <row r="262">
      <c r="A262" s="28"/>
      <c r="B262" s="29"/>
      <c r="C262" s="29"/>
      <c r="D262" s="29"/>
      <c r="E262" s="29"/>
      <c r="F262" s="30"/>
      <c r="G262" s="29"/>
      <c r="H262" s="29"/>
      <c r="I262" s="29"/>
      <c r="J262" s="30"/>
      <c r="K262" s="29"/>
      <c r="L262" s="29"/>
      <c r="M262" s="29"/>
      <c r="N262" s="29"/>
      <c r="O262" s="29"/>
      <c r="P262" s="29"/>
    </row>
    <row r="263">
      <c r="A263" s="28"/>
      <c r="B263" s="29"/>
      <c r="C263" s="29"/>
      <c r="D263" s="29"/>
      <c r="E263" s="29"/>
      <c r="F263" s="30"/>
      <c r="G263" s="29"/>
      <c r="H263" s="29"/>
      <c r="I263" s="29"/>
      <c r="J263" s="30"/>
      <c r="K263" s="29"/>
      <c r="L263" s="29"/>
      <c r="M263" s="29"/>
      <c r="N263" s="29"/>
      <c r="O263" s="29"/>
      <c r="P263" s="29"/>
    </row>
    <row r="264">
      <c r="A264" s="28"/>
      <c r="B264" s="29"/>
      <c r="C264" s="29"/>
      <c r="D264" s="29"/>
      <c r="E264" s="29"/>
      <c r="F264" s="29"/>
      <c r="G264" s="29"/>
      <c r="H264" s="29"/>
      <c r="I264" s="29"/>
      <c r="J264" s="29"/>
      <c r="K264" s="29"/>
      <c r="L264" s="30"/>
      <c r="M264" s="29"/>
      <c r="N264" s="29"/>
      <c r="O264" s="29"/>
      <c r="P264" s="29"/>
    </row>
    <row r="265">
      <c r="A265" s="28"/>
      <c r="B265" s="29"/>
      <c r="C265" s="29"/>
      <c r="D265" s="29"/>
      <c r="E265" s="29"/>
      <c r="F265" s="30"/>
      <c r="G265" s="29"/>
      <c r="H265" s="29"/>
      <c r="I265" s="29"/>
      <c r="J265" s="30"/>
      <c r="K265" s="29"/>
      <c r="L265" s="29"/>
      <c r="M265" s="29"/>
      <c r="N265" s="29"/>
      <c r="O265" s="29"/>
      <c r="P265" s="29"/>
    </row>
    <row r="266">
      <c r="A266" s="28"/>
      <c r="B266" s="29"/>
      <c r="C266" s="29"/>
      <c r="D266" s="29"/>
      <c r="E266" s="29"/>
      <c r="F266" s="30"/>
      <c r="G266" s="29"/>
      <c r="H266" s="29"/>
      <c r="I266" s="29"/>
      <c r="J266" s="30"/>
      <c r="K266" s="29"/>
      <c r="L266" s="29"/>
      <c r="M266" s="29"/>
      <c r="N266" s="29"/>
      <c r="O266" s="29"/>
      <c r="P266" s="29"/>
    </row>
    <row r="267">
      <c r="A267" s="28"/>
      <c r="B267" s="29"/>
      <c r="C267" s="29"/>
      <c r="D267" s="29"/>
      <c r="E267" s="29"/>
      <c r="F267" s="30"/>
      <c r="G267" s="29"/>
      <c r="H267" s="29"/>
      <c r="I267" s="29"/>
      <c r="J267" s="30"/>
      <c r="K267" s="29"/>
      <c r="L267" s="29"/>
      <c r="M267" s="29"/>
      <c r="N267" s="29"/>
      <c r="O267" s="29"/>
      <c r="P267" s="29"/>
    </row>
    <row r="268">
      <c r="A268" s="28"/>
      <c r="B268" s="29"/>
      <c r="C268" s="29"/>
      <c r="D268" s="29"/>
      <c r="E268" s="29"/>
      <c r="F268" s="30"/>
      <c r="G268" s="29"/>
      <c r="H268" s="29"/>
      <c r="I268" s="29"/>
      <c r="J268" s="29"/>
      <c r="K268" s="29"/>
      <c r="L268" s="29"/>
      <c r="M268" s="29"/>
      <c r="N268" s="29"/>
      <c r="O268" s="29"/>
      <c r="P268" s="29"/>
    </row>
    <row r="269">
      <c r="A269" s="28"/>
      <c r="B269" s="29"/>
      <c r="C269" s="29"/>
      <c r="D269" s="29"/>
      <c r="E269" s="29"/>
      <c r="F269" s="30"/>
      <c r="G269" s="29"/>
      <c r="H269" s="29"/>
      <c r="I269" s="29"/>
      <c r="J269" s="30"/>
      <c r="K269" s="29"/>
      <c r="L269" s="29"/>
      <c r="M269" s="29"/>
      <c r="N269" s="29"/>
      <c r="O269" s="29"/>
      <c r="P269" s="29"/>
    </row>
    <row r="270">
      <c r="A270" s="28"/>
      <c r="B270" s="29"/>
      <c r="C270" s="29"/>
      <c r="D270" s="29"/>
      <c r="E270" s="29"/>
      <c r="F270" s="29"/>
      <c r="G270" s="29"/>
      <c r="H270" s="29"/>
      <c r="I270" s="29"/>
      <c r="J270" s="30"/>
      <c r="K270" s="29"/>
      <c r="L270" s="29"/>
      <c r="M270" s="29"/>
      <c r="N270" s="29"/>
      <c r="O270" s="29"/>
      <c r="P270" s="29"/>
    </row>
    <row r="271">
      <c r="A271" s="28"/>
      <c r="B271" s="29"/>
      <c r="C271" s="29"/>
      <c r="D271" s="29"/>
      <c r="E271" s="29"/>
      <c r="F271" s="30"/>
      <c r="G271" s="29"/>
      <c r="H271" s="29"/>
      <c r="I271" s="29"/>
      <c r="J271" s="30"/>
      <c r="K271" s="29"/>
      <c r="L271" s="29"/>
      <c r="M271" s="29"/>
      <c r="N271" s="29"/>
      <c r="O271" s="29"/>
      <c r="P271" s="29"/>
    </row>
    <row r="272">
      <c r="A272" s="28"/>
      <c r="B272" s="29"/>
      <c r="C272" s="29"/>
      <c r="D272" s="29"/>
      <c r="E272" s="29"/>
      <c r="F272" s="30"/>
      <c r="G272" s="29"/>
      <c r="H272" s="29"/>
      <c r="I272" s="29"/>
      <c r="J272" s="30"/>
      <c r="K272" s="29"/>
      <c r="L272" s="29"/>
      <c r="M272" s="29"/>
      <c r="N272" s="29"/>
      <c r="O272" s="29"/>
      <c r="P272" s="29"/>
    </row>
    <row r="273">
      <c r="A273" s="28"/>
      <c r="B273" s="29"/>
      <c r="C273" s="29"/>
      <c r="D273" s="29"/>
      <c r="E273" s="29"/>
      <c r="F273" s="30"/>
      <c r="G273" s="29"/>
      <c r="H273" s="29"/>
      <c r="I273" s="29"/>
      <c r="J273" s="30"/>
      <c r="K273" s="29"/>
      <c r="L273" s="29"/>
      <c r="M273" s="29"/>
      <c r="N273" s="29"/>
      <c r="O273" s="29"/>
      <c r="P273" s="29"/>
    </row>
    <row r="274">
      <c r="A274" s="28"/>
      <c r="B274" s="29"/>
      <c r="C274" s="29"/>
      <c r="D274" s="29"/>
      <c r="E274" s="29"/>
      <c r="F274" s="30"/>
      <c r="G274" s="29"/>
      <c r="H274" s="29"/>
      <c r="I274" s="29"/>
      <c r="J274" s="30"/>
      <c r="K274" s="29"/>
      <c r="L274" s="29"/>
      <c r="M274" s="29"/>
      <c r="N274" s="29"/>
      <c r="O274" s="29"/>
      <c r="P274" s="29"/>
    </row>
    <row r="275">
      <c r="A275" s="28"/>
      <c r="B275" s="29"/>
      <c r="C275" s="29"/>
      <c r="D275" s="29"/>
      <c r="E275" s="29"/>
      <c r="F275" s="30"/>
      <c r="G275" s="29"/>
      <c r="H275" s="30"/>
      <c r="I275" s="29"/>
      <c r="J275" s="30"/>
      <c r="K275" s="29"/>
      <c r="L275" s="29"/>
      <c r="M275" s="29"/>
      <c r="N275" s="29"/>
      <c r="O275" s="29"/>
      <c r="P275" s="29"/>
    </row>
    <row r="276">
      <c r="A276" s="28"/>
      <c r="B276" s="29"/>
      <c r="C276" s="29"/>
      <c r="D276" s="29"/>
      <c r="E276" s="29"/>
      <c r="F276" s="30"/>
      <c r="G276" s="29"/>
      <c r="H276" s="29"/>
      <c r="I276" s="29"/>
      <c r="J276" s="30"/>
      <c r="K276" s="29"/>
      <c r="L276" s="29"/>
      <c r="M276" s="29"/>
      <c r="N276" s="29"/>
      <c r="O276" s="29"/>
      <c r="P276" s="29"/>
    </row>
    <row r="277">
      <c r="A277" s="28"/>
      <c r="B277" s="29"/>
      <c r="C277" s="29"/>
      <c r="D277" s="29"/>
      <c r="E277" s="29"/>
      <c r="F277" s="30"/>
      <c r="G277" s="29"/>
      <c r="H277" s="29"/>
      <c r="I277" s="29"/>
      <c r="J277" s="30"/>
      <c r="K277" s="29"/>
      <c r="L277" s="29"/>
      <c r="M277" s="29"/>
      <c r="N277" s="29"/>
      <c r="O277" s="29"/>
      <c r="P277" s="29"/>
    </row>
    <row r="278">
      <c r="A278" s="28"/>
      <c r="B278" s="29"/>
      <c r="C278" s="29"/>
      <c r="D278" s="29"/>
      <c r="E278" s="29"/>
      <c r="F278" s="30"/>
      <c r="G278" s="29"/>
      <c r="H278" s="29"/>
      <c r="I278" s="29"/>
      <c r="J278" s="30"/>
      <c r="K278" s="29"/>
      <c r="L278" s="29"/>
      <c r="M278" s="29"/>
      <c r="N278" s="29"/>
      <c r="O278" s="29"/>
      <c r="P278" s="29"/>
    </row>
    <row r="279">
      <c r="A279" s="28"/>
      <c r="B279" s="29"/>
      <c r="C279" s="29"/>
      <c r="D279" s="29"/>
      <c r="E279" s="29"/>
      <c r="F279" s="30"/>
      <c r="G279" s="29"/>
      <c r="H279" s="29"/>
      <c r="I279" s="29"/>
      <c r="J279" s="30"/>
      <c r="K279" s="29"/>
      <c r="L279" s="29"/>
      <c r="M279" s="29"/>
      <c r="N279" s="29"/>
      <c r="O279" s="29"/>
      <c r="P279" s="29"/>
    </row>
    <row r="280">
      <c r="A280" s="28"/>
      <c r="B280" s="29"/>
      <c r="C280" s="29"/>
      <c r="D280" s="29"/>
      <c r="E280" s="29"/>
      <c r="F280" s="30"/>
      <c r="G280" s="29"/>
      <c r="H280" s="29"/>
      <c r="I280" s="29"/>
      <c r="J280" s="30"/>
      <c r="K280" s="29"/>
      <c r="L280" s="29"/>
      <c r="M280" s="29"/>
      <c r="N280" s="29"/>
      <c r="O280" s="29"/>
      <c r="P280" s="29"/>
    </row>
    <row r="281">
      <c r="A281" s="28"/>
      <c r="B281" s="29"/>
      <c r="C281" s="29"/>
      <c r="D281" s="29"/>
      <c r="E281" s="29"/>
      <c r="F281" s="30"/>
      <c r="G281" s="29"/>
      <c r="H281" s="29"/>
      <c r="I281" s="29"/>
      <c r="J281" s="30"/>
      <c r="K281" s="29"/>
      <c r="L281" s="29"/>
      <c r="M281" s="29"/>
      <c r="N281" s="29"/>
      <c r="O281" s="29"/>
      <c r="P281" s="29"/>
    </row>
    <row r="282">
      <c r="A282" s="28"/>
      <c r="B282" s="29"/>
      <c r="C282" s="29"/>
      <c r="D282" s="29"/>
      <c r="E282" s="29"/>
      <c r="F282" s="30"/>
      <c r="G282" s="29"/>
      <c r="H282" s="29"/>
      <c r="I282" s="29"/>
      <c r="J282" s="30"/>
      <c r="K282" s="29"/>
      <c r="L282" s="29"/>
      <c r="M282" s="29"/>
      <c r="N282" s="29"/>
      <c r="O282" s="29"/>
      <c r="P282" s="29"/>
    </row>
    <row r="283">
      <c r="A283" s="28"/>
      <c r="B283" s="29"/>
      <c r="C283" s="29"/>
      <c r="D283" s="29"/>
      <c r="E283" s="29"/>
      <c r="F283" s="30"/>
      <c r="G283" s="29"/>
      <c r="H283" s="29"/>
      <c r="I283" s="29"/>
      <c r="J283" s="30"/>
      <c r="K283" s="29"/>
      <c r="L283" s="29"/>
      <c r="M283" s="29"/>
      <c r="N283" s="29"/>
      <c r="O283" s="29"/>
      <c r="P283" s="29"/>
    </row>
    <row r="284">
      <c r="A284" s="28"/>
      <c r="B284" s="29"/>
      <c r="C284" s="29"/>
      <c r="D284" s="29"/>
      <c r="E284" s="29"/>
      <c r="F284" s="29"/>
      <c r="G284" s="29"/>
      <c r="H284" s="29"/>
      <c r="I284" s="29"/>
      <c r="J284" s="29"/>
      <c r="K284" s="29"/>
      <c r="L284" s="30"/>
      <c r="M284" s="29"/>
      <c r="N284" s="29"/>
      <c r="O284" s="29"/>
      <c r="P284" s="29"/>
    </row>
    <row r="285">
      <c r="A285" s="28"/>
      <c r="B285" s="29"/>
      <c r="C285" s="29"/>
      <c r="D285" s="29"/>
      <c r="E285" s="29"/>
      <c r="F285" s="30"/>
      <c r="G285" s="29"/>
      <c r="H285" s="29"/>
      <c r="I285" s="29"/>
      <c r="J285" s="29"/>
      <c r="K285" s="29"/>
      <c r="L285" s="29"/>
      <c r="M285" s="29"/>
      <c r="N285" s="29"/>
      <c r="O285" s="29"/>
      <c r="P285" s="29"/>
    </row>
    <row r="286">
      <c r="A286" s="28"/>
      <c r="B286" s="29"/>
      <c r="C286" s="29"/>
      <c r="D286" s="29"/>
      <c r="E286" s="29"/>
      <c r="F286" s="30"/>
      <c r="G286" s="29"/>
      <c r="H286" s="29"/>
      <c r="I286" s="29"/>
      <c r="J286" s="30"/>
      <c r="K286" s="29"/>
      <c r="L286" s="29"/>
      <c r="M286" s="29"/>
      <c r="N286" s="29"/>
      <c r="O286" s="29"/>
      <c r="P286" s="29"/>
    </row>
    <row r="287">
      <c r="A287" s="28"/>
      <c r="B287" s="29"/>
      <c r="C287" s="29"/>
      <c r="D287" s="29"/>
      <c r="E287" s="29"/>
      <c r="F287" s="30"/>
      <c r="G287" s="29"/>
      <c r="H287" s="29"/>
      <c r="I287" s="29"/>
      <c r="J287" s="30"/>
      <c r="K287" s="29"/>
      <c r="L287" s="29"/>
      <c r="M287" s="29"/>
      <c r="N287" s="29"/>
      <c r="O287" s="29"/>
      <c r="P287" s="29"/>
    </row>
    <row r="288">
      <c r="A288" s="28"/>
      <c r="B288" s="29"/>
      <c r="C288" s="29"/>
      <c r="D288" s="29"/>
      <c r="E288" s="29"/>
      <c r="F288" s="30"/>
      <c r="G288" s="29"/>
      <c r="H288" s="29"/>
      <c r="I288" s="29"/>
      <c r="J288" s="29"/>
      <c r="K288" s="29"/>
      <c r="L288" s="29"/>
      <c r="M288" s="29"/>
      <c r="N288" s="29"/>
      <c r="O288" s="29"/>
      <c r="P288" s="29"/>
    </row>
    <row r="289">
      <c r="A289" s="28"/>
      <c r="B289" s="29"/>
      <c r="C289" s="29"/>
      <c r="D289" s="29"/>
      <c r="E289" s="29"/>
      <c r="F289" s="30"/>
      <c r="G289" s="29"/>
      <c r="H289" s="29"/>
      <c r="I289" s="29"/>
      <c r="J289" s="30"/>
      <c r="K289" s="29"/>
      <c r="L289" s="29"/>
      <c r="M289" s="29"/>
      <c r="N289" s="29"/>
      <c r="O289" s="29"/>
      <c r="P289" s="29"/>
    </row>
    <row r="290">
      <c r="A290" s="28"/>
      <c r="B290" s="29"/>
      <c r="C290" s="29"/>
      <c r="D290" s="29"/>
      <c r="E290" s="29"/>
      <c r="F290" s="30"/>
      <c r="G290" s="29"/>
      <c r="H290" s="29"/>
      <c r="I290" s="29"/>
      <c r="J290" s="30"/>
      <c r="K290" s="29"/>
      <c r="L290" s="29"/>
      <c r="M290" s="29"/>
      <c r="N290" s="29"/>
      <c r="O290" s="29"/>
      <c r="P290" s="29"/>
    </row>
    <row r="291">
      <c r="A291" s="28"/>
      <c r="B291" s="29"/>
      <c r="C291" s="29"/>
      <c r="D291" s="29"/>
      <c r="E291" s="29"/>
      <c r="F291" s="30"/>
      <c r="G291" s="29"/>
      <c r="H291" s="29"/>
      <c r="I291" s="29"/>
      <c r="J291" s="29"/>
      <c r="K291" s="30"/>
      <c r="L291" s="29"/>
      <c r="M291" s="29"/>
      <c r="N291" s="29"/>
      <c r="O291" s="29"/>
      <c r="P291" s="29"/>
    </row>
    <row r="292">
      <c r="A292" s="28"/>
      <c r="B292" s="29"/>
      <c r="C292" s="29"/>
      <c r="D292" s="29"/>
      <c r="E292" s="29"/>
      <c r="F292" s="30"/>
      <c r="G292" s="29"/>
      <c r="H292" s="30"/>
      <c r="I292" s="29"/>
      <c r="J292" s="30"/>
      <c r="K292" s="29"/>
      <c r="L292" s="29"/>
      <c r="M292" s="29"/>
      <c r="N292" s="29"/>
      <c r="O292" s="29"/>
      <c r="P292" s="29"/>
    </row>
    <row r="293">
      <c r="A293" s="28"/>
      <c r="B293" s="29"/>
      <c r="C293" s="29"/>
      <c r="D293" s="29"/>
      <c r="E293" s="29"/>
      <c r="F293" s="30"/>
      <c r="G293" s="29"/>
      <c r="H293" s="29"/>
      <c r="I293" s="29"/>
      <c r="J293" s="30"/>
      <c r="K293" s="29"/>
      <c r="L293" s="29"/>
      <c r="M293" s="29"/>
      <c r="N293" s="29"/>
      <c r="O293" s="29"/>
      <c r="P293" s="29"/>
    </row>
    <row r="294">
      <c r="A294" s="28"/>
      <c r="B294" s="29"/>
      <c r="C294" s="29"/>
      <c r="D294" s="29"/>
      <c r="E294" s="29"/>
      <c r="F294" s="30"/>
      <c r="G294" s="29"/>
      <c r="H294" s="29"/>
      <c r="I294" s="29"/>
      <c r="J294" s="30"/>
      <c r="K294" s="29"/>
      <c r="L294" s="30"/>
      <c r="M294" s="29"/>
      <c r="N294" s="29"/>
      <c r="O294" s="29"/>
      <c r="P294" s="29"/>
    </row>
    <row r="295">
      <c r="A295" s="28"/>
      <c r="B295" s="29"/>
      <c r="C295" s="29"/>
      <c r="D295" s="29"/>
      <c r="E295" s="29"/>
      <c r="F295" s="30"/>
      <c r="G295" s="29"/>
      <c r="H295" s="29"/>
      <c r="I295" s="29"/>
      <c r="J295" s="30"/>
      <c r="K295" s="29"/>
      <c r="L295" s="29"/>
      <c r="M295" s="29"/>
      <c r="N295" s="29"/>
      <c r="O295" s="29"/>
      <c r="P295" s="29"/>
    </row>
    <row r="296">
      <c r="A296" s="28"/>
      <c r="B296" s="29"/>
      <c r="C296" s="29"/>
      <c r="D296" s="29"/>
      <c r="E296" s="29"/>
      <c r="F296" s="30"/>
      <c r="G296" s="29"/>
      <c r="H296" s="29"/>
      <c r="I296" s="29"/>
      <c r="J296" s="29"/>
      <c r="K296" s="29"/>
      <c r="L296" s="29"/>
      <c r="M296" s="29"/>
      <c r="N296" s="29"/>
      <c r="O296" s="29"/>
      <c r="P296" s="29"/>
    </row>
    <row r="297">
      <c r="A297" s="28"/>
      <c r="B297" s="29"/>
      <c r="C297" s="29"/>
      <c r="D297" s="29"/>
      <c r="E297" s="29"/>
      <c r="F297" s="30"/>
      <c r="G297" s="29"/>
      <c r="H297" s="29"/>
      <c r="I297" s="29"/>
      <c r="J297" s="30"/>
      <c r="K297" s="29"/>
      <c r="L297" s="29"/>
      <c r="M297" s="29"/>
      <c r="N297" s="29"/>
      <c r="O297" s="29"/>
      <c r="P297" s="29"/>
    </row>
    <row r="298">
      <c r="A298" s="28"/>
      <c r="B298" s="29"/>
      <c r="C298" s="29"/>
      <c r="D298" s="29"/>
      <c r="E298" s="29"/>
      <c r="F298" s="30"/>
      <c r="G298" s="29"/>
      <c r="H298" s="29"/>
      <c r="I298" s="29"/>
      <c r="J298" s="30"/>
      <c r="K298" s="29"/>
      <c r="L298" s="29"/>
      <c r="M298" s="29"/>
      <c r="N298" s="29"/>
      <c r="O298" s="29"/>
      <c r="P298" s="29"/>
    </row>
    <row r="299">
      <c r="A299" s="28"/>
      <c r="B299" s="29"/>
      <c r="C299" s="29"/>
      <c r="D299" s="29"/>
      <c r="E299" s="29"/>
      <c r="F299" s="29"/>
      <c r="G299" s="29"/>
      <c r="H299" s="29"/>
      <c r="I299" s="29"/>
      <c r="J299" s="30"/>
      <c r="K299" s="29"/>
      <c r="L299" s="29"/>
      <c r="M299" s="29"/>
      <c r="N299" s="29"/>
      <c r="O299" s="29"/>
      <c r="P299" s="29"/>
    </row>
    <row r="300">
      <c r="A300" s="28"/>
      <c r="B300" s="29"/>
      <c r="C300" s="29"/>
      <c r="D300" s="29"/>
      <c r="E300" s="29"/>
      <c r="F300" s="30"/>
      <c r="G300" s="29"/>
      <c r="H300" s="29"/>
      <c r="I300" s="29"/>
      <c r="J300" s="30"/>
      <c r="K300" s="29"/>
      <c r="L300" s="29"/>
      <c r="M300" s="29"/>
      <c r="N300" s="29"/>
      <c r="O300" s="29"/>
      <c r="P300" s="29"/>
    </row>
    <row r="301">
      <c r="A301" s="28"/>
      <c r="B301" s="29"/>
      <c r="C301" s="29"/>
      <c r="D301" s="29"/>
      <c r="E301" s="29"/>
      <c r="F301" s="30"/>
      <c r="G301" s="29"/>
      <c r="H301" s="29"/>
      <c r="I301" s="29"/>
      <c r="J301" s="30"/>
      <c r="K301" s="29"/>
      <c r="L301" s="29"/>
      <c r="M301" s="29"/>
      <c r="N301" s="29"/>
      <c r="O301" s="29"/>
      <c r="P301" s="29"/>
    </row>
    <row r="302">
      <c r="A302" s="28"/>
      <c r="B302" s="29"/>
      <c r="C302" s="29"/>
      <c r="D302" s="29"/>
      <c r="E302" s="29"/>
      <c r="F302" s="30"/>
      <c r="G302" s="29"/>
      <c r="H302" s="29"/>
      <c r="I302" s="29"/>
      <c r="J302" s="30"/>
      <c r="K302" s="29"/>
      <c r="L302" s="29"/>
      <c r="M302" s="29"/>
      <c r="N302" s="29"/>
      <c r="O302" s="29"/>
      <c r="P302" s="29"/>
    </row>
    <row r="303">
      <c r="A303" s="28"/>
      <c r="B303" s="29"/>
      <c r="C303" s="29"/>
      <c r="D303" s="29"/>
      <c r="E303" s="29"/>
      <c r="F303" s="30"/>
      <c r="G303" s="29"/>
      <c r="H303" s="29"/>
      <c r="I303" s="29"/>
      <c r="J303" s="30"/>
      <c r="K303" s="29"/>
      <c r="L303" s="30"/>
      <c r="M303" s="29"/>
      <c r="N303" s="29"/>
      <c r="O303" s="29"/>
      <c r="P303" s="29"/>
    </row>
    <row r="304">
      <c r="A304" s="28"/>
      <c r="B304" s="29"/>
      <c r="C304" s="29"/>
      <c r="D304" s="29"/>
      <c r="E304" s="29"/>
      <c r="F304" s="30"/>
      <c r="G304" s="29"/>
      <c r="H304" s="29"/>
      <c r="I304" s="29"/>
      <c r="J304" s="30"/>
      <c r="K304" s="29"/>
      <c r="L304" s="29"/>
      <c r="M304" s="29"/>
      <c r="N304" s="29"/>
      <c r="O304" s="29"/>
      <c r="P304" s="29"/>
    </row>
    <row r="305">
      <c r="A305" s="28"/>
      <c r="B305" s="29"/>
      <c r="C305" s="29"/>
      <c r="D305" s="29"/>
      <c r="E305" s="29"/>
      <c r="F305" s="30"/>
      <c r="G305" s="29"/>
      <c r="H305" s="29"/>
      <c r="I305" s="29"/>
      <c r="J305" s="30"/>
      <c r="K305" s="30"/>
      <c r="L305" s="29"/>
      <c r="M305" s="29"/>
      <c r="N305" s="29"/>
      <c r="O305" s="29"/>
      <c r="P305" s="29"/>
    </row>
    <row r="306">
      <c r="A306" s="28"/>
      <c r="B306" s="29"/>
      <c r="C306" s="29"/>
      <c r="D306" s="29"/>
      <c r="E306" s="29"/>
      <c r="F306" s="30"/>
      <c r="G306" s="29"/>
      <c r="H306" s="29"/>
      <c r="I306" s="29"/>
      <c r="J306" s="30"/>
      <c r="K306" s="29"/>
      <c r="L306" s="29"/>
      <c r="M306" s="29"/>
      <c r="N306" s="29"/>
      <c r="O306" s="29"/>
      <c r="P306" s="29"/>
    </row>
    <row r="307">
      <c r="A307" s="28"/>
      <c r="B307" s="29"/>
      <c r="C307" s="29"/>
      <c r="D307" s="29"/>
      <c r="E307" s="29"/>
      <c r="F307" s="30"/>
      <c r="G307" s="29"/>
      <c r="H307" s="29"/>
      <c r="I307" s="29"/>
      <c r="J307" s="30"/>
      <c r="K307" s="29"/>
      <c r="L307" s="29"/>
      <c r="M307" s="29"/>
      <c r="N307" s="29"/>
      <c r="O307" s="29"/>
      <c r="P307" s="29"/>
    </row>
    <row r="308">
      <c r="A308" s="28"/>
      <c r="B308" s="29"/>
      <c r="C308" s="29"/>
      <c r="D308" s="29"/>
      <c r="E308" s="29"/>
      <c r="F308" s="29"/>
      <c r="G308" s="29"/>
      <c r="H308" s="29"/>
      <c r="I308" s="29"/>
      <c r="J308" s="30"/>
      <c r="K308" s="29"/>
      <c r="L308" s="29"/>
      <c r="M308" s="29"/>
      <c r="N308" s="29"/>
      <c r="O308" s="29"/>
      <c r="P308" s="29"/>
    </row>
    <row r="309">
      <c r="A309" s="28"/>
      <c r="B309" s="29"/>
      <c r="C309" s="29"/>
      <c r="D309" s="29"/>
      <c r="E309" s="29"/>
      <c r="F309" s="30"/>
      <c r="G309" s="29"/>
      <c r="H309" s="29"/>
      <c r="I309" s="29"/>
      <c r="J309" s="30"/>
      <c r="K309" s="29"/>
      <c r="L309" s="30"/>
      <c r="M309" s="29"/>
      <c r="N309" s="29"/>
      <c r="O309" s="29"/>
      <c r="P309" s="29"/>
    </row>
    <row r="310">
      <c r="A310" s="28"/>
      <c r="B310" s="29"/>
      <c r="C310" s="29"/>
      <c r="D310" s="29"/>
      <c r="E310" s="29"/>
      <c r="F310" s="30"/>
      <c r="G310" s="29"/>
      <c r="H310" s="29"/>
      <c r="I310" s="29"/>
      <c r="J310" s="30"/>
      <c r="K310" s="29"/>
      <c r="L310" s="29"/>
      <c r="M310" s="29"/>
      <c r="N310" s="29"/>
      <c r="O310" s="29"/>
      <c r="P310" s="29"/>
    </row>
    <row r="311">
      <c r="A311" s="28"/>
      <c r="B311" s="29"/>
      <c r="C311" s="29"/>
      <c r="D311" s="29"/>
      <c r="E311" s="29"/>
      <c r="F311" s="30"/>
      <c r="G311" s="29"/>
      <c r="H311" s="29"/>
      <c r="I311" s="29"/>
      <c r="J311" s="30"/>
      <c r="K311" s="29"/>
      <c r="L311" s="29"/>
      <c r="M311" s="29"/>
      <c r="N311" s="29"/>
      <c r="O311" s="29"/>
      <c r="P311" s="29"/>
    </row>
    <row r="312">
      <c r="A312" s="28"/>
      <c r="B312" s="29"/>
      <c r="C312" s="29"/>
      <c r="D312" s="29"/>
      <c r="E312" s="29"/>
      <c r="F312" s="30"/>
      <c r="G312" s="29"/>
      <c r="H312" s="29"/>
      <c r="I312" s="29"/>
      <c r="J312" s="30"/>
      <c r="K312" s="29"/>
      <c r="L312" s="29"/>
      <c r="M312" s="29"/>
      <c r="N312" s="29"/>
      <c r="O312" s="29"/>
      <c r="P312" s="29"/>
    </row>
    <row r="313">
      <c r="A313" s="28"/>
      <c r="B313" s="29"/>
      <c r="C313" s="29"/>
      <c r="D313" s="29"/>
      <c r="E313" s="29"/>
      <c r="F313" s="30"/>
      <c r="G313" s="29"/>
      <c r="H313" s="29"/>
      <c r="I313" s="29"/>
      <c r="J313" s="29"/>
      <c r="K313" s="29"/>
      <c r="L313" s="29"/>
      <c r="M313" s="29"/>
      <c r="N313" s="29"/>
      <c r="O313" s="29"/>
      <c r="P313" s="29"/>
    </row>
    <row r="314">
      <c r="A314" s="28"/>
      <c r="B314" s="29"/>
      <c r="C314" s="29"/>
      <c r="D314" s="29"/>
      <c r="E314" s="29"/>
      <c r="F314" s="30"/>
      <c r="G314" s="29"/>
      <c r="H314" s="29"/>
      <c r="I314" s="29"/>
      <c r="J314" s="30"/>
      <c r="K314" s="29"/>
      <c r="L314" s="29"/>
      <c r="M314" s="29"/>
      <c r="N314" s="29"/>
      <c r="O314" s="29"/>
      <c r="P314" s="29"/>
    </row>
    <row r="315">
      <c r="A315" s="28"/>
      <c r="B315" s="29"/>
      <c r="C315" s="29"/>
      <c r="D315" s="29"/>
      <c r="E315" s="29"/>
      <c r="F315" s="30"/>
      <c r="G315" s="29"/>
      <c r="H315" s="29"/>
      <c r="I315" s="29"/>
      <c r="J315" s="30"/>
      <c r="K315" s="29"/>
      <c r="L315" s="29"/>
      <c r="M315" s="29"/>
      <c r="N315" s="29"/>
      <c r="O315" s="29"/>
      <c r="P315" s="29"/>
    </row>
    <row r="316">
      <c r="A316" s="28"/>
      <c r="B316" s="29"/>
      <c r="C316" s="29"/>
      <c r="D316" s="29"/>
      <c r="E316" s="29"/>
      <c r="F316" s="30"/>
      <c r="G316" s="29"/>
      <c r="H316" s="29"/>
      <c r="I316" s="29"/>
      <c r="J316" s="30"/>
      <c r="K316" s="29"/>
      <c r="L316" s="29"/>
      <c r="M316" s="29"/>
      <c r="N316" s="29"/>
      <c r="O316" s="29"/>
      <c r="P316" s="29"/>
    </row>
    <row r="317">
      <c r="A317" s="28"/>
      <c r="B317" s="29"/>
      <c r="C317" s="29"/>
      <c r="D317" s="29"/>
      <c r="E317" s="29"/>
      <c r="F317" s="30"/>
      <c r="G317" s="29"/>
      <c r="H317" s="29"/>
      <c r="I317" s="29"/>
      <c r="J317" s="30"/>
      <c r="K317" s="29"/>
      <c r="L317" s="29"/>
      <c r="M317" s="29"/>
      <c r="N317" s="29"/>
      <c r="O317" s="29"/>
      <c r="P317" s="29"/>
    </row>
    <row r="318">
      <c r="A318" s="28"/>
      <c r="B318" s="29"/>
      <c r="C318" s="29"/>
      <c r="D318" s="29"/>
      <c r="E318" s="29"/>
      <c r="F318" s="30"/>
      <c r="G318" s="29"/>
      <c r="H318" s="29"/>
      <c r="I318" s="29"/>
      <c r="J318" s="30"/>
      <c r="K318" s="29"/>
      <c r="L318" s="29"/>
      <c r="M318" s="29"/>
      <c r="N318" s="29"/>
      <c r="O318" s="29"/>
      <c r="P318" s="29"/>
    </row>
    <row r="319">
      <c r="A319" s="28"/>
      <c r="B319" s="29"/>
      <c r="C319" s="29"/>
      <c r="D319" s="29"/>
      <c r="E319" s="29"/>
      <c r="F319" s="30"/>
      <c r="G319" s="29"/>
      <c r="H319" s="29"/>
      <c r="I319" s="29"/>
      <c r="J319" s="30"/>
      <c r="K319" s="29"/>
      <c r="L319" s="29"/>
      <c r="M319" s="29"/>
      <c r="N319" s="29"/>
      <c r="O319" s="29"/>
      <c r="P319" s="29"/>
    </row>
    <row r="320">
      <c r="A320" s="28"/>
      <c r="B320" s="29"/>
      <c r="C320" s="29"/>
      <c r="D320" s="29"/>
      <c r="E320" s="29"/>
      <c r="F320" s="30"/>
      <c r="G320" s="29"/>
      <c r="H320" s="29"/>
      <c r="I320" s="29"/>
      <c r="J320" s="30"/>
      <c r="K320" s="29"/>
      <c r="L320" s="29"/>
      <c r="M320" s="29"/>
      <c r="N320" s="29"/>
      <c r="O320" s="29"/>
      <c r="P320" s="29"/>
    </row>
    <row r="321">
      <c r="A321" s="28"/>
      <c r="B321" s="29"/>
      <c r="C321" s="29"/>
      <c r="D321" s="29"/>
      <c r="E321" s="29"/>
      <c r="F321" s="30"/>
      <c r="G321" s="29"/>
      <c r="H321" s="29"/>
      <c r="I321" s="29"/>
      <c r="J321" s="30"/>
      <c r="K321" s="29"/>
      <c r="L321" s="29"/>
      <c r="M321" s="29"/>
      <c r="N321" s="29"/>
      <c r="O321" s="29"/>
      <c r="P321" s="29"/>
    </row>
    <row r="322">
      <c r="A322" s="28"/>
      <c r="B322" s="29"/>
      <c r="C322" s="29"/>
      <c r="D322" s="29"/>
      <c r="E322" s="29"/>
      <c r="F322" s="30"/>
      <c r="G322" s="29"/>
      <c r="H322" s="29"/>
      <c r="I322" s="29"/>
      <c r="J322" s="30"/>
      <c r="K322" s="29"/>
      <c r="L322" s="29"/>
      <c r="M322" s="29"/>
      <c r="N322" s="29"/>
      <c r="O322" s="29"/>
      <c r="P322" s="29"/>
    </row>
    <row r="323">
      <c r="A323" s="28"/>
      <c r="B323" s="29"/>
      <c r="C323" s="29"/>
      <c r="D323" s="29"/>
      <c r="E323" s="29"/>
      <c r="F323" s="30"/>
      <c r="G323" s="29"/>
      <c r="H323" s="29"/>
      <c r="I323" s="29"/>
      <c r="J323" s="30"/>
      <c r="K323" s="29"/>
      <c r="L323" s="29"/>
      <c r="M323" s="29"/>
      <c r="N323" s="29"/>
      <c r="O323" s="29"/>
      <c r="P323" s="29"/>
    </row>
    <row r="324">
      <c r="A324" s="28"/>
      <c r="B324" s="29"/>
      <c r="C324" s="29"/>
      <c r="D324" s="29"/>
      <c r="E324" s="29"/>
      <c r="F324" s="30"/>
      <c r="G324" s="29"/>
      <c r="H324" s="29"/>
      <c r="I324" s="29"/>
      <c r="J324" s="30"/>
      <c r="K324" s="29"/>
      <c r="L324" s="29"/>
      <c r="M324" s="29"/>
      <c r="N324" s="29"/>
      <c r="O324" s="29"/>
      <c r="P324" s="29"/>
    </row>
    <row r="325">
      <c r="A325" s="28"/>
      <c r="B325" s="29"/>
      <c r="C325" s="29"/>
      <c r="D325" s="29"/>
      <c r="E325" s="29"/>
      <c r="F325" s="29"/>
      <c r="G325" s="29"/>
      <c r="H325" s="29"/>
      <c r="I325" s="29"/>
      <c r="J325" s="30"/>
      <c r="K325" s="29"/>
      <c r="L325" s="29"/>
      <c r="M325" s="29"/>
      <c r="N325" s="29"/>
      <c r="O325" s="29"/>
      <c r="P325" s="29"/>
    </row>
    <row r="326">
      <c r="A326" s="28"/>
      <c r="B326" s="29"/>
      <c r="C326" s="29"/>
      <c r="D326" s="29"/>
      <c r="E326" s="29"/>
      <c r="F326" s="29"/>
      <c r="G326" s="29"/>
      <c r="H326" s="29"/>
      <c r="I326" s="29"/>
      <c r="J326" s="30"/>
      <c r="K326" s="29"/>
      <c r="L326" s="29"/>
      <c r="M326" s="29"/>
      <c r="N326" s="29"/>
      <c r="O326" s="29"/>
      <c r="P326" s="29"/>
    </row>
    <row r="327">
      <c r="A327" s="28"/>
      <c r="B327" s="29"/>
      <c r="C327" s="29"/>
      <c r="D327" s="29"/>
      <c r="E327" s="29"/>
      <c r="F327" s="30"/>
      <c r="G327" s="29"/>
      <c r="H327" s="29"/>
      <c r="I327" s="29"/>
      <c r="J327" s="29"/>
      <c r="K327" s="29"/>
      <c r="L327" s="29"/>
      <c r="M327" s="29"/>
      <c r="N327" s="29"/>
      <c r="O327" s="29"/>
      <c r="P327" s="29"/>
    </row>
    <row r="328">
      <c r="A328" s="28"/>
      <c r="B328" s="29"/>
      <c r="C328" s="29"/>
      <c r="D328" s="29"/>
      <c r="E328" s="29"/>
      <c r="F328" s="30"/>
      <c r="G328" s="29"/>
      <c r="H328" s="29"/>
      <c r="I328" s="29"/>
      <c r="J328" s="29"/>
      <c r="K328" s="29"/>
      <c r="L328" s="29"/>
      <c r="M328" s="29"/>
      <c r="N328" s="29"/>
      <c r="O328" s="29"/>
      <c r="P328" s="29"/>
    </row>
    <row r="329">
      <c r="A329" s="28"/>
      <c r="B329" s="29"/>
      <c r="C329" s="29"/>
      <c r="D329" s="29"/>
      <c r="E329" s="29"/>
      <c r="F329" s="30"/>
      <c r="G329" s="29"/>
      <c r="H329" s="29"/>
      <c r="I329" s="29"/>
      <c r="J329" s="30"/>
      <c r="K329" s="30"/>
      <c r="L329" s="29"/>
      <c r="M329" s="29"/>
      <c r="N329" s="29"/>
      <c r="O329" s="29"/>
      <c r="P329" s="29"/>
    </row>
    <row r="330">
      <c r="A330" s="28"/>
      <c r="B330" s="29"/>
      <c r="C330" s="29"/>
      <c r="D330" s="29"/>
      <c r="E330" s="29"/>
      <c r="F330" s="29"/>
      <c r="G330" s="29"/>
      <c r="H330" s="29"/>
      <c r="I330" s="29"/>
      <c r="J330" s="30"/>
      <c r="K330" s="29"/>
      <c r="L330" s="29"/>
      <c r="M330" s="29"/>
      <c r="N330" s="29"/>
      <c r="O330" s="29"/>
      <c r="P330" s="29"/>
    </row>
    <row r="331">
      <c r="A331" s="28"/>
      <c r="B331" s="29"/>
      <c r="C331" s="29"/>
      <c r="D331" s="29"/>
      <c r="E331" s="29"/>
      <c r="F331" s="29"/>
      <c r="G331" s="29"/>
      <c r="H331" s="29"/>
      <c r="I331" s="29"/>
      <c r="J331" s="29"/>
      <c r="K331" s="29"/>
      <c r="L331" s="29"/>
      <c r="M331" s="29"/>
      <c r="N331" s="29"/>
      <c r="O331" s="29"/>
      <c r="P331" s="29"/>
    </row>
    <row r="332">
      <c r="A332" s="28"/>
      <c r="B332" s="29"/>
      <c r="C332" s="29"/>
      <c r="D332" s="29"/>
      <c r="E332" s="29"/>
      <c r="F332" s="30"/>
      <c r="G332" s="29"/>
      <c r="H332" s="29"/>
      <c r="I332" s="29"/>
      <c r="J332" s="30"/>
      <c r="K332" s="29"/>
      <c r="L332" s="29"/>
      <c r="M332" s="29"/>
      <c r="N332" s="29"/>
      <c r="O332" s="29"/>
      <c r="P332" s="29"/>
    </row>
    <row r="333">
      <c r="A333" s="28"/>
      <c r="B333" s="29"/>
      <c r="C333" s="29"/>
      <c r="D333" s="29"/>
      <c r="E333" s="29"/>
      <c r="F333" s="30"/>
      <c r="G333" s="29"/>
      <c r="H333" s="29"/>
      <c r="I333" s="29"/>
      <c r="J333" s="30"/>
      <c r="K333" s="29"/>
      <c r="L333" s="29"/>
      <c r="M333" s="29"/>
      <c r="N333" s="29"/>
      <c r="O333" s="29"/>
      <c r="P333" s="29"/>
    </row>
    <row r="334">
      <c r="A334" s="28"/>
      <c r="B334" s="29"/>
      <c r="C334" s="29"/>
      <c r="D334" s="29"/>
      <c r="E334" s="29"/>
      <c r="F334" s="30"/>
      <c r="G334" s="29"/>
      <c r="H334" s="29"/>
      <c r="I334" s="29"/>
      <c r="J334" s="30"/>
      <c r="K334" s="29"/>
      <c r="L334" s="29"/>
      <c r="M334" s="29"/>
      <c r="N334" s="29"/>
      <c r="O334" s="29"/>
      <c r="P334" s="29"/>
    </row>
    <row r="335">
      <c r="A335" s="28"/>
      <c r="B335" s="29"/>
      <c r="C335" s="29"/>
      <c r="D335" s="29"/>
      <c r="E335" s="29"/>
      <c r="F335" s="30"/>
      <c r="G335" s="29"/>
      <c r="H335" s="29"/>
      <c r="I335" s="29"/>
      <c r="J335" s="30"/>
      <c r="K335" s="29"/>
      <c r="L335" s="29"/>
      <c r="M335" s="29"/>
      <c r="N335" s="29"/>
      <c r="O335" s="29"/>
      <c r="P335" s="29"/>
    </row>
    <row r="336">
      <c r="A336" s="28"/>
      <c r="B336" s="29"/>
      <c r="C336" s="29"/>
      <c r="D336" s="29"/>
      <c r="E336" s="29"/>
      <c r="F336" s="30"/>
      <c r="G336" s="29"/>
      <c r="H336" s="29"/>
      <c r="I336" s="29"/>
      <c r="J336" s="30"/>
      <c r="K336" s="29"/>
      <c r="L336" s="29"/>
      <c r="M336" s="29"/>
      <c r="N336" s="29"/>
      <c r="O336" s="29"/>
      <c r="P336" s="29"/>
    </row>
    <row r="337">
      <c r="A337" s="28"/>
      <c r="B337" s="29"/>
      <c r="C337" s="29"/>
      <c r="D337" s="29"/>
      <c r="E337" s="29"/>
      <c r="F337" s="30"/>
      <c r="G337" s="29"/>
      <c r="H337" s="29"/>
      <c r="I337" s="29"/>
      <c r="J337" s="30"/>
      <c r="K337" s="30"/>
      <c r="L337" s="29"/>
      <c r="M337" s="29"/>
      <c r="N337" s="29"/>
      <c r="O337" s="29"/>
      <c r="P337" s="29"/>
    </row>
    <row r="338">
      <c r="A338" s="28"/>
      <c r="B338" s="29"/>
      <c r="C338" s="29"/>
      <c r="D338" s="29"/>
      <c r="E338" s="29"/>
      <c r="F338" s="30"/>
      <c r="G338" s="29"/>
      <c r="H338" s="29"/>
      <c r="I338" s="29"/>
      <c r="J338" s="30"/>
      <c r="K338" s="29"/>
      <c r="L338" s="29"/>
      <c r="M338" s="29"/>
      <c r="N338" s="29"/>
      <c r="O338" s="29"/>
      <c r="P338" s="29"/>
    </row>
    <row r="339">
      <c r="A339" s="28"/>
      <c r="B339" s="29"/>
      <c r="C339" s="29"/>
      <c r="D339" s="29"/>
      <c r="E339" s="29"/>
      <c r="F339" s="29"/>
      <c r="G339" s="29"/>
      <c r="H339" s="29"/>
      <c r="I339" s="29"/>
      <c r="J339" s="29"/>
      <c r="K339" s="29"/>
      <c r="L339" s="29"/>
      <c r="M339" s="29"/>
      <c r="N339" s="29"/>
      <c r="O339" s="29"/>
      <c r="P339" s="29"/>
    </row>
    <row r="340">
      <c r="A340" s="28"/>
      <c r="B340" s="29"/>
      <c r="C340" s="29"/>
      <c r="D340" s="29"/>
      <c r="E340" s="29"/>
      <c r="F340" s="30"/>
      <c r="G340" s="29"/>
      <c r="H340" s="29"/>
      <c r="I340" s="29"/>
      <c r="J340" s="30"/>
      <c r="K340" s="29"/>
      <c r="L340" s="29"/>
      <c r="M340" s="29"/>
      <c r="N340" s="29"/>
      <c r="O340" s="29"/>
      <c r="P340" s="29"/>
    </row>
    <row r="341">
      <c r="A341" s="28"/>
      <c r="B341" s="29"/>
      <c r="C341" s="29"/>
      <c r="D341" s="29"/>
      <c r="E341" s="29"/>
      <c r="F341" s="30"/>
      <c r="G341" s="29"/>
      <c r="H341" s="29"/>
      <c r="I341" s="29"/>
      <c r="J341" s="30"/>
      <c r="K341" s="29"/>
      <c r="L341" s="29"/>
      <c r="M341" s="29"/>
      <c r="N341" s="29"/>
      <c r="O341" s="29"/>
      <c r="P341" s="29"/>
    </row>
    <row r="342">
      <c r="A342" s="28"/>
      <c r="B342" s="29"/>
      <c r="C342" s="29"/>
      <c r="D342" s="29"/>
      <c r="E342" s="29"/>
      <c r="F342" s="30"/>
      <c r="G342" s="29"/>
      <c r="H342" s="29"/>
      <c r="I342" s="29"/>
      <c r="J342" s="29"/>
      <c r="K342" s="30"/>
      <c r="L342" s="29"/>
      <c r="M342" s="29"/>
      <c r="N342" s="29"/>
      <c r="O342" s="29"/>
      <c r="P342" s="29"/>
    </row>
    <row r="343">
      <c r="A343" s="28"/>
      <c r="B343" s="29"/>
      <c r="C343" s="29"/>
      <c r="D343" s="29"/>
      <c r="E343" s="29"/>
      <c r="F343" s="30"/>
      <c r="G343" s="29"/>
      <c r="H343" s="29"/>
      <c r="I343" s="29"/>
      <c r="J343" s="30"/>
      <c r="K343" s="29"/>
      <c r="L343" s="29"/>
      <c r="M343" s="29"/>
      <c r="N343" s="29"/>
      <c r="O343" s="29"/>
      <c r="P343" s="29"/>
    </row>
    <row r="344">
      <c r="A344" s="28"/>
      <c r="B344" s="29"/>
      <c r="C344" s="29"/>
      <c r="D344" s="29"/>
      <c r="E344" s="29"/>
      <c r="F344" s="29"/>
      <c r="G344" s="29"/>
      <c r="H344" s="29"/>
      <c r="I344" s="29"/>
      <c r="J344" s="29"/>
      <c r="K344" s="29"/>
      <c r="L344" s="29"/>
      <c r="M344" s="29"/>
      <c r="N344" s="29"/>
      <c r="O344" s="29"/>
      <c r="P344" s="29"/>
    </row>
    <row r="345">
      <c r="A345" s="28"/>
      <c r="B345" s="29"/>
      <c r="C345" s="29"/>
      <c r="D345" s="29"/>
      <c r="E345" s="29"/>
      <c r="F345" s="30"/>
      <c r="G345" s="29"/>
      <c r="H345" s="29"/>
      <c r="I345" s="29"/>
      <c r="J345" s="30"/>
      <c r="K345" s="29"/>
      <c r="L345" s="29"/>
      <c r="M345" s="29"/>
      <c r="N345" s="29"/>
      <c r="O345" s="29"/>
      <c r="P345" s="29"/>
    </row>
    <row r="346">
      <c r="A346" s="28"/>
      <c r="B346" s="29"/>
      <c r="C346" s="29"/>
      <c r="D346" s="29"/>
      <c r="E346" s="29"/>
      <c r="F346" s="30"/>
      <c r="G346" s="29"/>
      <c r="H346" s="29"/>
      <c r="I346" s="29"/>
      <c r="J346" s="30"/>
      <c r="K346" s="29"/>
      <c r="L346" s="29"/>
      <c r="M346" s="29"/>
      <c r="N346" s="29"/>
      <c r="O346" s="29"/>
      <c r="P346" s="29"/>
    </row>
    <row r="347">
      <c r="A347" s="28"/>
      <c r="B347" s="29"/>
      <c r="C347" s="29"/>
      <c r="D347" s="29"/>
      <c r="E347" s="29"/>
      <c r="F347" s="30"/>
      <c r="G347" s="29"/>
      <c r="H347" s="29"/>
      <c r="I347" s="29"/>
      <c r="J347" s="30"/>
      <c r="K347" s="29"/>
      <c r="L347" s="29"/>
      <c r="M347" s="29"/>
      <c r="N347" s="29"/>
      <c r="O347" s="29"/>
      <c r="P347" s="29"/>
    </row>
    <row r="348">
      <c r="A348" s="28"/>
      <c r="B348" s="29"/>
      <c r="C348" s="29"/>
      <c r="D348" s="29"/>
      <c r="E348" s="29"/>
      <c r="F348" s="30"/>
      <c r="G348" s="29"/>
      <c r="H348" s="29"/>
      <c r="I348" s="29"/>
      <c r="J348" s="30"/>
      <c r="K348" s="29"/>
      <c r="L348" s="29"/>
      <c r="M348" s="29"/>
      <c r="N348" s="29"/>
      <c r="O348" s="29"/>
      <c r="P348" s="29"/>
    </row>
    <row r="349">
      <c r="A349" s="28"/>
      <c r="B349" s="29"/>
      <c r="C349" s="29"/>
      <c r="D349" s="29"/>
      <c r="E349" s="29"/>
      <c r="F349" s="30"/>
      <c r="G349" s="29"/>
      <c r="H349" s="29"/>
      <c r="I349" s="29"/>
      <c r="J349" s="30"/>
      <c r="K349" s="29"/>
      <c r="L349" s="29"/>
      <c r="M349" s="29"/>
      <c r="N349" s="29"/>
      <c r="O349" s="29"/>
      <c r="P349" s="29"/>
    </row>
    <row r="350">
      <c r="A350" s="28"/>
      <c r="B350" s="29"/>
      <c r="C350" s="29"/>
      <c r="D350" s="29"/>
      <c r="E350" s="29"/>
      <c r="F350" s="30"/>
      <c r="G350" s="29"/>
      <c r="H350" s="29"/>
      <c r="I350" s="29"/>
      <c r="J350" s="30"/>
      <c r="K350" s="29"/>
      <c r="L350" s="29"/>
      <c r="M350" s="29"/>
      <c r="N350" s="29"/>
      <c r="O350" s="29"/>
      <c r="P350" s="29"/>
    </row>
    <row r="351">
      <c r="A351" s="28"/>
      <c r="B351" s="29"/>
      <c r="C351" s="29"/>
      <c r="D351" s="29"/>
      <c r="E351" s="29"/>
      <c r="F351" s="30"/>
      <c r="G351" s="29"/>
      <c r="H351" s="29"/>
      <c r="I351" s="29"/>
      <c r="J351" s="30"/>
      <c r="K351" s="30"/>
      <c r="L351" s="29"/>
      <c r="M351" s="29"/>
      <c r="N351" s="29"/>
      <c r="O351" s="29"/>
      <c r="P351" s="29"/>
    </row>
    <row r="352">
      <c r="A352" s="28"/>
      <c r="B352" s="29"/>
      <c r="C352" s="29"/>
      <c r="D352" s="29"/>
      <c r="E352" s="29"/>
      <c r="F352" s="30"/>
      <c r="G352" s="29"/>
      <c r="H352" s="29"/>
      <c r="I352" s="29"/>
      <c r="J352" s="30"/>
      <c r="K352" s="30"/>
      <c r="L352" s="29"/>
      <c r="M352" s="29"/>
      <c r="N352" s="29"/>
      <c r="O352" s="29"/>
      <c r="P352" s="29"/>
    </row>
    <row r="353">
      <c r="A353" s="28"/>
      <c r="B353" s="29"/>
      <c r="C353" s="29"/>
      <c r="D353" s="29"/>
      <c r="E353" s="29"/>
      <c r="F353" s="30"/>
      <c r="G353" s="29"/>
      <c r="H353" s="29"/>
      <c r="I353" s="29"/>
      <c r="J353" s="30"/>
      <c r="K353" s="29"/>
      <c r="L353" s="29"/>
      <c r="M353" s="29"/>
      <c r="N353" s="29"/>
      <c r="O353" s="29"/>
      <c r="P353" s="29"/>
    </row>
    <row r="354">
      <c r="A354" s="28"/>
      <c r="B354" s="29"/>
      <c r="C354" s="29"/>
      <c r="D354" s="29"/>
      <c r="E354" s="29"/>
      <c r="F354" s="30"/>
      <c r="G354" s="29"/>
      <c r="H354" s="29"/>
      <c r="I354" s="29"/>
      <c r="J354" s="30"/>
      <c r="K354" s="29"/>
      <c r="L354" s="29"/>
      <c r="M354" s="29"/>
      <c r="N354" s="29"/>
      <c r="O354" s="29"/>
      <c r="P354" s="29"/>
    </row>
    <row r="355">
      <c r="A355" s="28"/>
      <c r="B355" s="29"/>
      <c r="C355" s="29"/>
      <c r="D355" s="29"/>
      <c r="E355" s="29"/>
      <c r="F355" s="30"/>
      <c r="G355" s="29"/>
      <c r="H355" s="29"/>
      <c r="I355" s="29"/>
      <c r="J355" s="30"/>
      <c r="K355" s="29"/>
      <c r="L355" s="29"/>
      <c r="M355" s="29"/>
      <c r="N355" s="29"/>
      <c r="O355" s="29"/>
      <c r="P355" s="29"/>
    </row>
    <row r="356">
      <c r="A356" s="28"/>
      <c r="B356" s="29"/>
      <c r="C356" s="29"/>
      <c r="D356" s="29"/>
      <c r="E356" s="29"/>
      <c r="F356" s="30"/>
      <c r="G356" s="29"/>
      <c r="H356" s="29"/>
      <c r="I356" s="29"/>
      <c r="J356" s="30"/>
      <c r="K356" s="30"/>
      <c r="L356" s="29"/>
      <c r="M356" s="29"/>
      <c r="N356" s="29"/>
      <c r="O356" s="29"/>
      <c r="P356" s="29"/>
    </row>
    <row r="357">
      <c r="A357" s="28"/>
      <c r="B357" s="29"/>
      <c r="C357" s="29"/>
      <c r="D357" s="29"/>
      <c r="E357" s="29"/>
      <c r="F357" s="30"/>
      <c r="G357" s="29"/>
      <c r="H357" s="29"/>
      <c r="I357" s="29"/>
      <c r="J357" s="30"/>
      <c r="K357" s="30"/>
      <c r="L357" s="29"/>
      <c r="M357" s="29"/>
      <c r="N357" s="29"/>
      <c r="O357" s="29"/>
      <c r="P357" s="29"/>
    </row>
    <row r="358">
      <c r="A358" s="28"/>
      <c r="B358" s="29"/>
      <c r="C358" s="29"/>
      <c r="D358" s="29"/>
      <c r="E358" s="29"/>
      <c r="F358" s="29"/>
      <c r="G358" s="29"/>
      <c r="H358" s="29"/>
      <c r="I358" s="29"/>
      <c r="J358" s="29"/>
      <c r="K358" s="29"/>
      <c r="L358" s="29"/>
      <c r="M358" s="29"/>
      <c r="N358" s="29"/>
      <c r="O358" s="29"/>
      <c r="P358" s="29"/>
    </row>
    <row r="359">
      <c r="A359" s="28"/>
      <c r="B359" s="29"/>
      <c r="C359" s="29"/>
      <c r="D359" s="29"/>
      <c r="E359" s="29"/>
      <c r="F359" s="30"/>
      <c r="G359" s="29"/>
      <c r="H359" s="29"/>
      <c r="I359" s="29"/>
      <c r="J359" s="30"/>
      <c r="K359" s="29"/>
      <c r="L359" s="29"/>
      <c r="M359" s="29"/>
      <c r="N359" s="29"/>
      <c r="O359" s="29"/>
      <c r="P359" s="29"/>
    </row>
    <row r="360">
      <c r="A360" s="28"/>
      <c r="B360" s="29"/>
      <c r="C360" s="29"/>
      <c r="D360" s="29"/>
      <c r="E360" s="29"/>
      <c r="F360" s="29"/>
      <c r="G360" s="29"/>
      <c r="H360" s="29"/>
      <c r="I360" s="29"/>
      <c r="J360" s="29"/>
      <c r="K360" s="29"/>
      <c r="L360" s="29"/>
      <c r="M360" s="29"/>
      <c r="N360" s="29"/>
      <c r="O360" s="29"/>
      <c r="P360" s="29"/>
    </row>
    <row r="361">
      <c r="A361" s="28"/>
      <c r="B361" s="29"/>
      <c r="C361" s="29"/>
      <c r="D361" s="29"/>
      <c r="E361" s="29"/>
      <c r="F361" s="30"/>
      <c r="G361" s="29"/>
      <c r="H361" s="29"/>
      <c r="I361" s="29"/>
      <c r="J361" s="30"/>
      <c r="K361" s="29"/>
      <c r="L361" s="29"/>
      <c r="M361" s="29"/>
      <c r="N361" s="29"/>
      <c r="O361" s="29"/>
      <c r="P361" s="29"/>
    </row>
    <row r="362">
      <c r="A362" s="28"/>
      <c r="B362" s="29"/>
      <c r="C362" s="29"/>
      <c r="D362" s="29"/>
      <c r="E362" s="29"/>
      <c r="F362" s="30"/>
      <c r="G362" s="29"/>
      <c r="H362" s="29"/>
      <c r="I362" s="29"/>
      <c r="J362" s="30"/>
      <c r="K362" s="29"/>
      <c r="L362" s="29"/>
      <c r="M362" s="29"/>
      <c r="N362" s="29"/>
      <c r="O362" s="29"/>
      <c r="P362" s="29"/>
    </row>
    <row r="363">
      <c r="A363" s="28"/>
      <c r="B363" s="29"/>
      <c r="C363" s="29"/>
      <c r="D363" s="29"/>
      <c r="E363" s="29"/>
      <c r="F363" s="30"/>
      <c r="G363" s="29"/>
      <c r="H363" s="29"/>
      <c r="I363" s="29"/>
      <c r="J363" s="30"/>
      <c r="K363" s="29"/>
      <c r="L363" s="29"/>
      <c r="M363" s="29"/>
      <c r="N363" s="29"/>
      <c r="O363" s="29"/>
      <c r="P363" s="29"/>
    </row>
    <row r="364">
      <c r="A364" s="28"/>
      <c r="B364" s="29"/>
      <c r="C364" s="29"/>
      <c r="D364" s="29"/>
      <c r="E364" s="29"/>
      <c r="F364" s="30"/>
      <c r="G364" s="29"/>
      <c r="H364" s="29"/>
      <c r="I364" s="29"/>
      <c r="J364" s="30"/>
      <c r="K364" s="29"/>
      <c r="L364" s="29"/>
      <c r="M364" s="29"/>
      <c r="N364" s="29"/>
      <c r="O364" s="29"/>
      <c r="P364" s="29"/>
    </row>
    <row r="365">
      <c r="A365" s="28"/>
      <c r="B365" s="29"/>
      <c r="C365" s="29"/>
      <c r="D365" s="29"/>
      <c r="E365" s="29"/>
      <c r="F365" s="30"/>
      <c r="G365" s="29"/>
      <c r="H365" s="29"/>
      <c r="I365" s="29"/>
      <c r="J365" s="30"/>
      <c r="K365" s="29"/>
      <c r="L365" s="29"/>
      <c r="M365" s="29"/>
      <c r="N365" s="29"/>
      <c r="O365" s="29"/>
      <c r="P365" s="29"/>
    </row>
    <row r="366">
      <c r="A366" s="28"/>
      <c r="B366" s="29"/>
      <c r="C366" s="29"/>
      <c r="D366" s="29"/>
      <c r="E366" s="29"/>
      <c r="F366" s="30"/>
      <c r="G366" s="29"/>
      <c r="H366" s="29"/>
      <c r="I366" s="29"/>
      <c r="J366" s="30"/>
      <c r="K366" s="29"/>
      <c r="L366" s="29"/>
      <c r="M366" s="29"/>
      <c r="N366" s="29"/>
      <c r="O366" s="29"/>
      <c r="P366" s="29"/>
    </row>
    <row r="367">
      <c r="A367" s="28"/>
      <c r="B367" s="29"/>
      <c r="C367" s="29"/>
      <c r="D367" s="29"/>
      <c r="E367" s="29"/>
      <c r="F367" s="30"/>
      <c r="G367" s="29"/>
      <c r="H367" s="29"/>
      <c r="I367" s="29"/>
      <c r="J367" s="30"/>
      <c r="K367" s="29"/>
      <c r="L367" s="29"/>
      <c r="M367" s="29"/>
      <c r="N367" s="29"/>
      <c r="O367" s="29"/>
      <c r="P367" s="29"/>
    </row>
    <row r="368">
      <c r="A368" s="28"/>
      <c r="B368" s="29"/>
      <c r="C368" s="29"/>
      <c r="D368" s="29"/>
      <c r="E368" s="29"/>
      <c r="F368" s="30"/>
      <c r="G368" s="29"/>
      <c r="H368" s="29"/>
      <c r="I368" s="29"/>
      <c r="J368" s="30"/>
      <c r="K368" s="29"/>
      <c r="L368" s="29"/>
      <c r="M368" s="29"/>
      <c r="N368" s="29"/>
      <c r="O368" s="29"/>
      <c r="P368" s="29"/>
    </row>
    <row r="369">
      <c r="A369" s="28"/>
      <c r="B369" s="29"/>
      <c r="C369" s="29"/>
      <c r="D369" s="29"/>
      <c r="E369" s="29"/>
      <c r="F369" s="30"/>
      <c r="G369" s="29"/>
      <c r="H369" s="29"/>
      <c r="I369" s="29"/>
      <c r="J369" s="30"/>
      <c r="K369" s="29"/>
      <c r="L369" s="29"/>
      <c r="M369" s="29"/>
      <c r="N369" s="29"/>
      <c r="O369" s="29"/>
      <c r="P369" s="29"/>
    </row>
    <row r="370">
      <c r="A370" s="28"/>
      <c r="B370" s="29"/>
      <c r="C370" s="29"/>
      <c r="D370" s="29"/>
      <c r="E370" s="29"/>
      <c r="F370" s="30"/>
      <c r="G370" s="29"/>
      <c r="H370" s="29"/>
      <c r="I370" s="29"/>
      <c r="J370" s="30"/>
      <c r="K370" s="29"/>
      <c r="L370" s="29"/>
      <c r="M370" s="29"/>
      <c r="N370" s="29"/>
      <c r="O370" s="29"/>
      <c r="P370" s="29"/>
    </row>
    <row r="371">
      <c r="A371" s="28"/>
      <c r="B371" s="29"/>
      <c r="C371" s="29"/>
      <c r="D371" s="29"/>
      <c r="E371" s="29"/>
      <c r="F371" s="30"/>
      <c r="G371" s="29"/>
      <c r="H371" s="29"/>
      <c r="I371" s="29"/>
      <c r="J371" s="30"/>
      <c r="K371" s="29"/>
      <c r="L371" s="29"/>
      <c r="M371" s="29"/>
      <c r="N371" s="29"/>
      <c r="O371" s="29"/>
      <c r="P371" s="29"/>
    </row>
    <row r="372">
      <c r="A372" s="28"/>
      <c r="B372" s="29"/>
      <c r="C372" s="29"/>
      <c r="D372" s="29"/>
      <c r="E372" s="29"/>
      <c r="F372" s="30"/>
      <c r="G372" s="29"/>
      <c r="H372" s="29"/>
      <c r="I372" s="29"/>
      <c r="J372" s="30"/>
      <c r="K372" s="29"/>
      <c r="L372" s="29"/>
      <c r="M372" s="29"/>
      <c r="N372" s="29"/>
      <c r="O372" s="29"/>
      <c r="P372" s="29"/>
    </row>
    <row r="373">
      <c r="A373" s="28"/>
      <c r="B373" s="29"/>
      <c r="C373" s="29"/>
      <c r="D373" s="29"/>
      <c r="E373" s="29"/>
      <c r="F373" s="30"/>
      <c r="G373" s="29"/>
      <c r="H373" s="29"/>
      <c r="I373" s="29"/>
      <c r="J373" s="30"/>
      <c r="K373" s="29"/>
      <c r="L373" s="29"/>
      <c r="M373" s="29"/>
      <c r="N373" s="29"/>
      <c r="O373" s="29"/>
      <c r="P373" s="29"/>
    </row>
    <row r="374">
      <c r="A374" s="28"/>
      <c r="B374" s="29"/>
      <c r="C374" s="29"/>
      <c r="D374" s="29"/>
      <c r="E374" s="29"/>
      <c r="F374" s="30"/>
      <c r="G374" s="29"/>
      <c r="H374" s="29"/>
      <c r="I374" s="29"/>
      <c r="J374" s="30"/>
      <c r="K374" s="29"/>
      <c r="L374" s="29"/>
      <c r="M374" s="29"/>
      <c r="N374" s="29"/>
      <c r="O374" s="29"/>
      <c r="P374" s="29"/>
    </row>
    <row r="375">
      <c r="A375" s="28"/>
      <c r="B375" s="29"/>
      <c r="C375" s="29"/>
      <c r="D375" s="29"/>
      <c r="E375" s="29"/>
      <c r="F375" s="30"/>
      <c r="G375" s="29"/>
      <c r="H375" s="29"/>
      <c r="I375" s="29"/>
      <c r="J375" s="30"/>
      <c r="K375" s="29"/>
      <c r="L375" s="29"/>
      <c r="M375" s="29"/>
      <c r="N375" s="29"/>
      <c r="O375" s="29"/>
      <c r="P375" s="29"/>
    </row>
    <row r="376">
      <c r="A376" s="28"/>
      <c r="B376" s="29"/>
      <c r="C376" s="29"/>
      <c r="D376" s="29"/>
      <c r="E376" s="29"/>
      <c r="F376" s="30"/>
      <c r="G376" s="29"/>
      <c r="H376" s="29"/>
      <c r="I376" s="29"/>
      <c r="J376" s="30"/>
      <c r="K376" s="30"/>
      <c r="L376" s="29"/>
      <c r="M376" s="29"/>
      <c r="N376" s="29"/>
      <c r="O376" s="29"/>
      <c r="P376" s="29"/>
    </row>
    <row r="377">
      <c r="A377" s="28"/>
      <c r="B377" s="29"/>
      <c r="C377" s="29"/>
      <c r="D377" s="29"/>
      <c r="E377" s="29"/>
      <c r="F377" s="30"/>
      <c r="G377" s="29"/>
      <c r="H377" s="29"/>
      <c r="I377" s="29"/>
      <c r="J377" s="30"/>
      <c r="K377" s="29"/>
      <c r="L377" s="29"/>
      <c r="M377" s="29"/>
      <c r="N377" s="29"/>
      <c r="O377" s="29"/>
      <c r="P377" s="29"/>
    </row>
    <row r="378">
      <c r="A378" s="28"/>
      <c r="B378" s="29"/>
      <c r="C378" s="29"/>
      <c r="D378" s="29"/>
      <c r="E378" s="29"/>
      <c r="F378" s="30"/>
      <c r="G378" s="29"/>
      <c r="H378" s="29"/>
      <c r="I378" s="29"/>
      <c r="J378" s="30"/>
      <c r="K378" s="29"/>
      <c r="L378" s="29"/>
      <c r="M378" s="29"/>
      <c r="N378" s="29"/>
      <c r="O378" s="29"/>
      <c r="P378" s="29"/>
    </row>
    <row r="379">
      <c r="A379" s="28"/>
      <c r="B379" s="29"/>
      <c r="C379" s="29"/>
      <c r="D379" s="29"/>
      <c r="E379" s="29"/>
      <c r="F379" s="30"/>
      <c r="G379" s="29"/>
      <c r="H379" s="29"/>
      <c r="I379" s="29"/>
      <c r="J379" s="30"/>
      <c r="K379" s="29"/>
      <c r="L379" s="29"/>
      <c r="M379" s="29"/>
      <c r="N379" s="29"/>
      <c r="O379" s="29"/>
      <c r="P379" s="29"/>
    </row>
    <row r="380">
      <c r="A380" s="28"/>
      <c r="B380" s="29"/>
      <c r="C380" s="29"/>
      <c r="D380" s="29"/>
      <c r="E380" s="29"/>
      <c r="F380" s="30"/>
      <c r="G380" s="29"/>
      <c r="H380" s="29"/>
      <c r="I380" s="29"/>
      <c r="J380" s="30"/>
      <c r="K380" s="29"/>
      <c r="L380" s="29"/>
      <c r="M380" s="29"/>
      <c r="N380" s="29"/>
      <c r="O380" s="29"/>
      <c r="P380" s="29"/>
    </row>
    <row r="381">
      <c r="A381" s="28"/>
      <c r="B381" s="29"/>
      <c r="C381" s="29"/>
      <c r="D381" s="29"/>
      <c r="E381" s="29"/>
      <c r="F381" s="30"/>
      <c r="G381" s="29"/>
      <c r="H381" s="29"/>
      <c r="I381" s="29"/>
      <c r="J381" s="30"/>
      <c r="K381" s="29"/>
      <c r="L381" s="29"/>
      <c r="M381" s="29"/>
      <c r="N381" s="29"/>
      <c r="O381" s="29"/>
      <c r="P381" s="29"/>
    </row>
    <row r="382">
      <c r="A382" s="28"/>
      <c r="B382" s="29"/>
      <c r="C382" s="29"/>
      <c r="D382" s="29"/>
      <c r="E382" s="29"/>
      <c r="F382" s="30"/>
      <c r="G382" s="29"/>
      <c r="H382" s="29"/>
      <c r="I382" s="29"/>
      <c r="J382" s="30"/>
      <c r="K382" s="29"/>
      <c r="L382" s="29"/>
      <c r="M382" s="29"/>
      <c r="N382" s="29"/>
      <c r="O382" s="29"/>
      <c r="P382" s="29"/>
    </row>
    <row r="383">
      <c r="A383" s="28"/>
      <c r="B383" s="29"/>
      <c r="C383" s="29"/>
      <c r="D383" s="29"/>
      <c r="E383" s="29"/>
      <c r="F383" s="30"/>
      <c r="G383" s="29"/>
      <c r="H383" s="29"/>
      <c r="I383" s="29"/>
      <c r="J383" s="30"/>
      <c r="K383" s="29"/>
      <c r="L383" s="29"/>
      <c r="M383" s="29"/>
      <c r="N383" s="29"/>
      <c r="O383" s="29"/>
      <c r="P383" s="29"/>
    </row>
    <row r="384">
      <c r="A384" s="28"/>
      <c r="B384" s="29"/>
      <c r="C384" s="29"/>
      <c r="D384" s="29"/>
      <c r="E384" s="29"/>
      <c r="F384" s="30"/>
      <c r="G384" s="29"/>
      <c r="H384" s="29"/>
      <c r="I384" s="29"/>
      <c r="J384" s="30"/>
      <c r="K384" s="29"/>
      <c r="L384" s="29"/>
      <c r="M384" s="29"/>
      <c r="N384" s="29"/>
      <c r="O384" s="29"/>
      <c r="P384" s="29"/>
    </row>
    <row r="385">
      <c r="A385" s="28"/>
      <c r="B385" s="29"/>
      <c r="C385" s="29"/>
      <c r="D385" s="29"/>
      <c r="E385" s="29"/>
      <c r="F385" s="30"/>
      <c r="G385" s="29"/>
      <c r="H385" s="29"/>
      <c r="I385" s="29"/>
      <c r="J385" s="29"/>
      <c r="K385" s="29"/>
      <c r="L385" s="29"/>
      <c r="M385" s="29"/>
      <c r="N385" s="29"/>
      <c r="O385" s="29"/>
      <c r="P385" s="29"/>
    </row>
    <row r="386">
      <c r="A386" s="28"/>
      <c r="B386" s="29"/>
      <c r="C386" s="29"/>
      <c r="D386" s="29"/>
      <c r="E386" s="29"/>
      <c r="F386" s="30"/>
      <c r="G386" s="29"/>
      <c r="H386" s="29"/>
      <c r="I386" s="29"/>
      <c r="J386" s="30"/>
      <c r="K386" s="29"/>
      <c r="L386" s="29"/>
      <c r="M386" s="29"/>
      <c r="N386" s="29"/>
      <c r="O386" s="29"/>
      <c r="P386" s="29"/>
    </row>
    <row r="387">
      <c r="A387" s="28"/>
      <c r="B387" s="29"/>
      <c r="C387" s="29"/>
      <c r="D387" s="29"/>
      <c r="E387" s="29"/>
      <c r="F387" s="30"/>
      <c r="G387" s="29"/>
      <c r="H387" s="29"/>
      <c r="I387" s="29"/>
      <c r="J387" s="30"/>
      <c r="K387" s="29"/>
      <c r="L387" s="29"/>
      <c r="M387" s="29"/>
      <c r="N387" s="29"/>
      <c r="O387" s="29"/>
      <c r="P387" s="29"/>
    </row>
    <row r="388">
      <c r="A388" s="28"/>
      <c r="B388" s="29"/>
      <c r="C388" s="29"/>
      <c r="D388" s="29"/>
      <c r="E388" s="29"/>
      <c r="F388" s="30"/>
      <c r="G388" s="29"/>
      <c r="H388" s="29"/>
      <c r="I388" s="29"/>
      <c r="J388" s="30"/>
      <c r="K388" s="29"/>
      <c r="L388" s="29"/>
      <c r="M388" s="29"/>
      <c r="N388" s="29"/>
      <c r="O388" s="29"/>
      <c r="P388" s="29"/>
    </row>
    <row r="389">
      <c r="A389" s="28"/>
      <c r="B389" s="29"/>
      <c r="C389" s="29"/>
      <c r="D389" s="29"/>
      <c r="E389" s="29"/>
      <c r="F389" s="30"/>
      <c r="G389" s="29"/>
      <c r="H389" s="30"/>
      <c r="I389" s="29"/>
      <c r="J389" s="30"/>
      <c r="K389" s="29"/>
      <c r="L389" s="29"/>
      <c r="M389" s="29"/>
      <c r="N389" s="29"/>
      <c r="O389" s="29"/>
      <c r="P389" s="29"/>
    </row>
    <row r="390">
      <c r="A390" s="28"/>
      <c r="B390" s="29"/>
      <c r="C390" s="29"/>
      <c r="D390" s="29"/>
      <c r="E390" s="29"/>
      <c r="F390" s="30"/>
      <c r="G390" s="29"/>
      <c r="H390" s="29"/>
      <c r="I390" s="29"/>
      <c r="J390" s="30"/>
      <c r="K390" s="29"/>
      <c r="L390" s="29"/>
      <c r="M390" s="29"/>
      <c r="N390" s="29"/>
      <c r="O390" s="29"/>
      <c r="P390" s="29"/>
    </row>
    <row r="391">
      <c r="A391" s="28"/>
      <c r="B391" s="29"/>
      <c r="C391" s="29"/>
      <c r="D391" s="29"/>
      <c r="E391" s="29"/>
      <c r="F391" s="30"/>
      <c r="G391" s="29"/>
      <c r="H391" s="29"/>
      <c r="I391" s="29"/>
      <c r="J391" s="30"/>
      <c r="K391" s="29"/>
      <c r="L391" s="29"/>
      <c r="M391" s="29"/>
      <c r="N391" s="29"/>
      <c r="O391" s="29"/>
      <c r="P391" s="29"/>
    </row>
    <row r="392">
      <c r="A392" s="28"/>
      <c r="B392" s="29"/>
      <c r="C392" s="29"/>
      <c r="D392" s="29"/>
      <c r="E392" s="29"/>
      <c r="F392" s="30"/>
      <c r="G392" s="29"/>
      <c r="H392" s="29"/>
      <c r="I392" s="29"/>
      <c r="J392" s="30"/>
      <c r="K392" s="29"/>
      <c r="L392" s="29"/>
      <c r="M392" s="29"/>
      <c r="N392" s="29"/>
      <c r="O392" s="29"/>
      <c r="P392" s="29"/>
    </row>
    <row r="393">
      <c r="A393" s="28"/>
      <c r="B393" s="29"/>
      <c r="C393" s="29"/>
      <c r="D393" s="29"/>
      <c r="E393" s="29"/>
      <c r="F393" s="30"/>
      <c r="G393" s="29"/>
      <c r="H393" s="30"/>
      <c r="I393" s="29"/>
      <c r="J393" s="30"/>
      <c r="K393" s="29"/>
      <c r="L393" s="29"/>
      <c r="M393" s="29"/>
      <c r="N393" s="29"/>
      <c r="O393" s="29"/>
      <c r="P393" s="29"/>
    </row>
    <row r="394">
      <c r="A394" s="28"/>
      <c r="B394" s="29"/>
      <c r="C394" s="29"/>
      <c r="D394" s="29"/>
      <c r="E394" s="29"/>
      <c r="F394" s="30"/>
      <c r="G394" s="29"/>
      <c r="H394" s="29"/>
      <c r="I394" s="29"/>
      <c r="J394" s="30"/>
      <c r="K394" s="29"/>
      <c r="L394" s="29"/>
      <c r="M394" s="29"/>
      <c r="N394" s="29"/>
      <c r="O394" s="29"/>
      <c r="P394" s="29"/>
    </row>
    <row r="395">
      <c r="A395" s="28"/>
      <c r="B395" s="29"/>
      <c r="C395" s="29"/>
      <c r="D395" s="29"/>
      <c r="E395" s="29"/>
      <c r="F395" s="29"/>
      <c r="G395" s="29"/>
      <c r="H395" s="29"/>
      <c r="I395" s="29"/>
      <c r="J395" s="30"/>
      <c r="K395" s="29"/>
      <c r="L395" s="30"/>
      <c r="M395" s="29"/>
      <c r="N395" s="29"/>
      <c r="O395" s="29"/>
      <c r="P395" s="29"/>
    </row>
    <row r="396">
      <c r="A396" s="28"/>
      <c r="B396" s="29"/>
      <c r="C396" s="29"/>
      <c r="D396" s="29"/>
      <c r="E396" s="29"/>
      <c r="F396" s="30"/>
      <c r="G396" s="29"/>
      <c r="H396" s="30"/>
      <c r="I396" s="29"/>
      <c r="J396" s="30"/>
      <c r="K396" s="29"/>
      <c r="L396" s="30"/>
      <c r="M396" s="29"/>
      <c r="N396" s="29"/>
      <c r="O396" s="29"/>
      <c r="P396" s="29"/>
    </row>
    <row r="397">
      <c r="A397" s="28"/>
      <c r="B397" s="29"/>
      <c r="C397" s="29"/>
      <c r="D397" s="29"/>
      <c r="E397" s="29"/>
      <c r="F397" s="30"/>
      <c r="G397" s="29"/>
      <c r="H397" s="29"/>
      <c r="I397" s="29"/>
      <c r="J397" s="30"/>
      <c r="K397" s="29"/>
      <c r="L397" s="29"/>
      <c r="M397" s="29"/>
      <c r="N397" s="29"/>
      <c r="O397" s="29"/>
      <c r="P397" s="29"/>
    </row>
    <row r="398">
      <c r="A398" s="28"/>
      <c r="B398" s="29"/>
      <c r="C398" s="29"/>
      <c r="D398" s="29"/>
      <c r="E398" s="29"/>
      <c r="F398" s="30"/>
      <c r="G398" s="29"/>
      <c r="H398" s="29"/>
      <c r="I398" s="29"/>
      <c r="J398" s="30"/>
      <c r="K398" s="29"/>
      <c r="L398" s="29"/>
      <c r="M398" s="29"/>
      <c r="N398" s="29"/>
      <c r="O398" s="29"/>
      <c r="P398" s="29"/>
    </row>
    <row r="399">
      <c r="A399" s="28"/>
      <c r="B399" s="29"/>
      <c r="C399" s="29"/>
      <c r="D399" s="29"/>
      <c r="E399" s="29"/>
      <c r="F399" s="30"/>
      <c r="G399" s="29"/>
      <c r="H399" s="29"/>
      <c r="I399" s="29"/>
      <c r="J399" s="30"/>
      <c r="K399" s="29"/>
      <c r="L399" s="29"/>
      <c r="M399" s="29"/>
      <c r="N399" s="29"/>
      <c r="O399" s="29"/>
      <c r="P399" s="29"/>
    </row>
    <row r="400">
      <c r="A400" s="28"/>
      <c r="B400" s="29"/>
      <c r="C400" s="29"/>
      <c r="D400" s="29"/>
      <c r="E400" s="29"/>
      <c r="F400" s="30"/>
      <c r="G400" s="29"/>
      <c r="H400" s="29"/>
      <c r="I400" s="29"/>
      <c r="J400" s="30"/>
      <c r="K400" s="29"/>
      <c r="L400" s="29"/>
      <c r="M400" s="29"/>
      <c r="N400" s="29"/>
      <c r="O400" s="29"/>
      <c r="P400" s="29"/>
    </row>
    <row r="401">
      <c r="A401" s="138"/>
      <c r="B401" s="138"/>
      <c r="C401" s="138"/>
      <c r="D401" s="138"/>
      <c r="E401" s="138"/>
      <c r="F401" s="138"/>
      <c r="G401" s="138"/>
      <c r="H401" s="138"/>
      <c r="I401" s="138"/>
      <c r="J401" s="138"/>
      <c r="K401" s="138"/>
      <c r="L401" s="138"/>
      <c r="M401" s="138"/>
      <c r="N401" s="138"/>
      <c r="O401" s="138"/>
      <c r="P401" s="138"/>
    </row>
    <row r="402">
      <c r="A402" s="138"/>
      <c r="B402" s="138"/>
      <c r="C402" s="138"/>
      <c r="D402" s="138"/>
      <c r="E402" s="138"/>
      <c r="F402" s="138"/>
      <c r="G402" s="138"/>
      <c r="H402" s="138"/>
      <c r="I402" s="138"/>
      <c r="J402" s="138"/>
      <c r="K402" s="138"/>
      <c r="L402" s="138"/>
      <c r="M402" s="138"/>
      <c r="N402" s="138"/>
      <c r="O402" s="138"/>
      <c r="P402" s="138"/>
    </row>
    <row r="403">
      <c r="A403" s="138"/>
      <c r="B403" s="138"/>
      <c r="C403" s="138"/>
      <c r="D403" s="138"/>
      <c r="E403" s="138"/>
      <c r="F403" s="138"/>
      <c r="G403" s="138"/>
      <c r="H403" s="138"/>
      <c r="I403" s="138"/>
      <c r="J403" s="138"/>
      <c r="K403" s="138"/>
      <c r="L403" s="138"/>
      <c r="M403" s="138"/>
      <c r="N403" s="138"/>
      <c r="O403" s="138"/>
      <c r="P403" s="138"/>
    </row>
    <row r="404">
      <c r="A404" s="138"/>
      <c r="B404" s="138"/>
      <c r="C404" s="138"/>
      <c r="D404" s="138"/>
      <c r="E404" s="138"/>
      <c r="F404" s="138"/>
      <c r="G404" s="138"/>
      <c r="H404" s="138"/>
      <c r="I404" s="138"/>
      <c r="J404" s="138"/>
      <c r="K404" s="138"/>
      <c r="L404" s="138"/>
      <c r="M404" s="138"/>
      <c r="N404" s="138"/>
      <c r="O404" s="138"/>
      <c r="P404" s="138"/>
    </row>
    <row r="405">
      <c r="A405" s="138"/>
      <c r="B405" s="138"/>
      <c r="C405" s="138"/>
      <c r="D405" s="138"/>
      <c r="E405" s="138"/>
      <c r="F405" s="138"/>
      <c r="G405" s="138"/>
      <c r="H405" s="138"/>
      <c r="I405" s="138"/>
      <c r="J405" s="138"/>
      <c r="K405" s="138"/>
      <c r="L405" s="138"/>
      <c r="M405" s="138"/>
      <c r="N405" s="138"/>
      <c r="O405" s="138"/>
      <c r="P405" s="138"/>
    </row>
    <row r="406">
      <c r="A406" s="138"/>
      <c r="B406" s="138"/>
      <c r="C406" s="138"/>
      <c r="D406" s="138"/>
      <c r="E406" s="138"/>
      <c r="F406" s="138"/>
      <c r="G406" s="138"/>
      <c r="H406" s="138"/>
      <c r="I406" s="138"/>
      <c r="J406" s="138"/>
      <c r="K406" s="138"/>
      <c r="L406" s="138"/>
      <c r="M406" s="138"/>
      <c r="N406" s="138"/>
      <c r="O406" s="138"/>
      <c r="P406" s="138"/>
    </row>
    <row r="407">
      <c r="A407" s="138"/>
      <c r="B407" s="138"/>
      <c r="C407" s="138"/>
      <c r="D407" s="138"/>
      <c r="E407" s="138"/>
      <c r="F407" s="138"/>
      <c r="G407" s="138"/>
      <c r="H407" s="138"/>
      <c r="I407" s="138"/>
      <c r="J407" s="138"/>
      <c r="K407" s="138"/>
      <c r="L407" s="138"/>
      <c r="M407" s="138"/>
      <c r="N407" s="138"/>
      <c r="O407" s="138"/>
      <c r="P407" s="138"/>
    </row>
    <row r="408">
      <c r="A408" s="138"/>
      <c r="B408" s="138"/>
      <c r="C408" s="138"/>
      <c r="D408" s="138"/>
      <c r="E408" s="138"/>
      <c r="F408" s="138"/>
      <c r="G408" s="138"/>
      <c r="H408" s="138"/>
      <c r="I408" s="138"/>
      <c r="J408" s="138"/>
      <c r="K408" s="138"/>
      <c r="L408" s="138"/>
      <c r="M408" s="138"/>
      <c r="N408" s="138"/>
      <c r="O408" s="138"/>
      <c r="P408" s="138"/>
    </row>
    <row r="409">
      <c r="A409" s="138"/>
      <c r="B409" s="138"/>
      <c r="C409" s="138"/>
      <c r="D409" s="138"/>
      <c r="E409" s="138"/>
      <c r="F409" s="138"/>
      <c r="G409" s="138"/>
      <c r="H409" s="138"/>
      <c r="I409" s="138"/>
      <c r="J409" s="138"/>
      <c r="K409" s="138"/>
      <c r="L409" s="138"/>
      <c r="M409" s="138"/>
      <c r="N409" s="138"/>
      <c r="O409" s="138"/>
      <c r="P409" s="138"/>
    </row>
    <row r="410">
      <c r="A410" s="138"/>
      <c r="B410" s="138"/>
      <c r="C410" s="138"/>
      <c r="D410" s="138"/>
      <c r="E410" s="138"/>
      <c r="F410" s="138"/>
      <c r="G410" s="138"/>
      <c r="H410" s="138"/>
      <c r="I410" s="138"/>
      <c r="J410" s="138"/>
      <c r="K410" s="138"/>
      <c r="L410" s="138"/>
      <c r="M410" s="138"/>
      <c r="N410" s="138"/>
      <c r="O410" s="138"/>
      <c r="P410" s="138"/>
    </row>
    <row r="411">
      <c r="A411" s="138"/>
      <c r="B411" s="138"/>
      <c r="C411" s="138"/>
      <c r="D411" s="138"/>
      <c r="E411" s="138"/>
      <c r="F411" s="138"/>
      <c r="G411" s="138"/>
      <c r="H411" s="138"/>
      <c r="I411" s="138"/>
      <c r="J411" s="138"/>
      <c r="K411" s="138"/>
      <c r="L411" s="138"/>
      <c r="M411" s="138"/>
      <c r="N411" s="138"/>
      <c r="O411" s="138"/>
      <c r="P411" s="138"/>
    </row>
    <row r="412">
      <c r="A412" s="138"/>
      <c r="B412" s="138"/>
      <c r="C412" s="138"/>
      <c r="D412" s="138"/>
      <c r="E412" s="138"/>
      <c r="F412" s="138"/>
      <c r="G412" s="138"/>
      <c r="H412" s="138"/>
      <c r="I412" s="138"/>
      <c r="J412" s="138"/>
      <c r="K412" s="138"/>
      <c r="L412" s="138"/>
      <c r="M412" s="138"/>
      <c r="N412" s="138"/>
      <c r="O412" s="138"/>
      <c r="P412" s="138"/>
    </row>
    <row r="413">
      <c r="A413" s="138"/>
      <c r="B413" s="138"/>
      <c r="C413" s="138"/>
      <c r="D413" s="138"/>
      <c r="E413" s="138"/>
      <c r="F413" s="138"/>
      <c r="G413" s="138"/>
      <c r="H413" s="138"/>
      <c r="I413" s="138"/>
      <c r="J413" s="138"/>
      <c r="K413" s="138"/>
      <c r="L413" s="138"/>
      <c r="M413" s="138"/>
      <c r="N413" s="138"/>
      <c r="O413" s="138"/>
      <c r="P413" s="138"/>
    </row>
    <row r="414">
      <c r="A414" s="138"/>
      <c r="B414" s="138"/>
      <c r="C414" s="138"/>
      <c r="D414" s="138"/>
      <c r="E414" s="138"/>
      <c r="F414" s="138"/>
      <c r="G414" s="138"/>
      <c r="H414" s="138"/>
      <c r="I414" s="138"/>
      <c r="J414" s="138"/>
      <c r="K414" s="138"/>
      <c r="L414" s="138"/>
      <c r="M414" s="138"/>
      <c r="N414" s="138"/>
      <c r="O414" s="138"/>
      <c r="P414" s="138"/>
    </row>
    <row r="415">
      <c r="A415" s="138"/>
      <c r="B415" s="138"/>
      <c r="C415" s="138"/>
      <c r="D415" s="138"/>
      <c r="E415" s="138"/>
      <c r="F415" s="138"/>
      <c r="G415" s="138"/>
      <c r="H415" s="138"/>
      <c r="I415" s="138"/>
      <c r="J415" s="138"/>
      <c r="K415" s="138"/>
      <c r="L415" s="138"/>
      <c r="M415" s="138"/>
      <c r="N415" s="138"/>
      <c r="O415" s="138"/>
      <c r="P415" s="138"/>
    </row>
    <row r="416">
      <c r="A416" s="138"/>
      <c r="B416" s="138"/>
      <c r="C416" s="138"/>
      <c r="D416" s="138"/>
      <c r="E416" s="138"/>
      <c r="F416" s="138"/>
      <c r="G416" s="138"/>
      <c r="H416" s="138"/>
      <c r="I416" s="138"/>
      <c r="J416" s="138"/>
      <c r="K416" s="138"/>
      <c r="L416" s="138"/>
      <c r="M416" s="138"/>
      <c r="N416" s="138"/>
      <c r="O416" s="138"/>
      <c r="P416" s="138"/>
    </row>
    <row r="417">
      <c r="A417" s="138"/>
      <c r="B417" s="138"/>
      <c r="C417" s="138"/>
      <c r="D417" s="138"/>
      <c r="E417" s="138"/>
      <c r="F417" s="138"/>
      <c r="G417" s="138"/>
      <c r="H417" s="138"/>
      <c r="I417" s="138"/>
      <c r="J417" s="138"/>
      <c r="K417" s="138"/>
      <c r="L417" s="138"/>
      <c r="M417" s="138"/>
      <c r="N417" s="138"/>
      <c r="O417" s="138"/>
      <c r="P417" s="138"/>
    </row>
    <row r="418">
      <c r="A418" s="138"/>
      <c r="B418" s="138"/>
      <c r="C418" s="138"/>
      <c r="D418" s="138"/>
      <c r="E418" s="138"/>
      <c r="F418" s="138"/>
      <c r="G418" s="138"/>
      <c r="H418" s="138"/>
      <c r="I418" s="138"/>
      <c r="J418" s="138"/>
      <c r="K418" s="138"/>
      <c r="L418" s="138"/>
      <c r="M418" s="138"/>
      <c r="N418" s="138"/>
      <c r="O418" s="138"/>
      <c r="P418" s="138"/>
    </row>
    <row r="419">
      <c r="A419" s="138"/>
      <c r="B419" s="138"/>
      <c r="C419" s="138"/>
      <c r="D419" s="138"/>
      <c r="E419" s="138"/>
      <c r="F419" s="138"/>
      <c r="G419" s="138"/>
      <c r="H419" s="138"/>
      <c r="I419" s="138"/>
      <c r="J419" s="138"/>
      <c r="K419" s="138"/>
      <c r="L419" s="138"/>
      <c r="M419" s="138"/>
      <c r="N419" s="138"/>
      <c r="O419" s="138"/>
      <c r="P419" s="138"/>
    </row>
    <row r="420">
      <c r="A420" s="138"/>
      <c r="B420" s="138"/>
      <c r="C420" s="138"/>
      <c r="D420" s="138"/>
      <c r="E420" s="138"/>
      <c r="F420" s="138"/>
      <c r="G420" s="138"/>
      <c r="H420" s="138"/>
      <c r="I420" s="138"/>
      <c r="J420" s="138"/>
      <c r="K420" s="138"/>
      <c r="L420" s="138"/>
      <c r="M420" s="138"/>
      <c r="N420" s="138"/>
      <c r="O420" s="138"/>
      <c r="P420" s="138"/>
    </row>
    <row r="421">
      <c r="A421" s="138"/>
      <c r="B421" s="138"/>
      <c r="C421" s="138"/>
      <c r="D421" s="138"/>
      <c r="E421" s="138"/>
      <c r="F421" s="138"/>
      <c r="G421" s="138"/>
      <c r="H421" s="138"/>
      <c r="I421" s="138"/>
      <c r="J421" s="138"/>
      <c r="K421" s="138"/>
      <c r="L421" s="138"/>
      <c r="M421" s="138"/>
      <c r="N421" s="138"/>
      <c r="O421" s="138"/>
      <c r="P421" s="138"/>
    </row>
    <row r="422">
      <c r="A422" s="138"/>
      <c r="B422" s="138"/>
      <c r="C422" s="138"/>
      <c r="D422" s="138"/>
      <c r="E422" s="138"/>
      <c r="F422" s="138"/>
      <c r="G422" s="138"/>
      <c r="H422" s="138"/>
      <c r="I422" s="138"/>
      <c r="J422" s="138"/>
      <c r="K422" s="138"/>
      <c r="L422" s="138"/>
      <c r="M422" s="138"/>
      <c r="N422" s="138"/>
      <c r="O422" s="138"/>
      <c r="P422" s="138"/>
    </row>
    <row r="423">
      <c r="A423" s="138"/>
      <c r="B423" s="138"/>
      <c r="C423" s="138"/>
      <c r="D423" s="138"/>
      <c r="E423" s="138"/>
      <c r="F423" s="138"/>
      <c r="G423" s="138"/>
      <c r="H423" s="138"/>
      <c r="I423" s="138"/>
      <c r="J423" s="138"/>
      <c r="K423" s="138"/>
      <c r="L423" s="138"/>
      <c r="M423" s="138"/>
      <c r="N423" s="138"/>
      <c r="O423" s="138"/>
      <c r="P423" s="138"/>
    </row>
    <row r="424">
      <c r="A424" s="138"/>
      <c r="B424" s="138"/>
      <c r="C424" s="138"/>
      <c r="D424" s="138"/>
      <c r="E424" s="138"/>
      <c r="F424" s="138"/>
      <c r="G424" s="138"/>
      <c r="H424" s="138"/>
      <c r="I424" s="138"/>
      <c r="J424" s="138"/>
      <c r="K424" s="138"/>
      <c r="L424" s="138"/>
      <c r="M424" s="138"/>
      <c r="N424" s="138"/>
      <c r="O424" s="138"/>
      <c r="P424" s="138"/>
    </row>
    <row r="425">
      <c r="A425" s="138"/>
      <c r="B425" s="138"/>
      <c r="C425" s="138"/>
      <c r="D425" s="138"/>
      <c r="E425" s="138"/>
      <c r="F425" s="138"/>
      <c r="G425" s="138"/>
      <c r="H425" s="138"/>
      <c r="I425" s="138"/>
      <c r="J425" s="138"/>
      <c r="K425" s="138"/>
      <c r="L425" s="138"/>
      <c r="M425" s="138"/>
      <c r="N425" s="138"/>
      <c r="O425" s="138"/>
      <c r="P425" s="138"/>
    </row>
    <row r="426">
      <c r="A426" s="138"/>
      <c r="B426" s="138"/>
      <c r="C426" s="138"/>
      <c r="D426" s="138"/>
      <c r="E426" s="138"/>
      <c r="F426" s="138"/>
      <c r="G426" s="138"/>
      <c r="H426" s="138"/>
      <c r="I426" s="138"/>
      <c r="J426" s="138"/>
      <c r="K426" s="138"/>
      <c r="L426" s="138"/>
      <c r="M426" s="138"/>
      <c r="N426" s="138"/>
      <c r="O426" s="138"/>
      <c r="P426" s="138"/>
    </row>
    <row r="427">
      <c r="A427" s="138"/>
      <c r="B427" s="138"/>
      <c r="C427" s="138"/>
      <c r="D427" s="138"/>
      <c r="E427" s="138"/>
      <c r="F427" s="138"/>
      <c r="G427" s="138"/>
      <c r="H427" s="138"/>
      <c r="I427" s="138"/>
      <c r="J427" s="138"/>
      <c r="K427" s="138"/>
      <c r="L427" s="138"/>
      <c r="M427" s="138"/>
      <c r="N427" s="138"/>
      <c r="O427" s="138"/>
      <c r="P427" s="138"/>
    </row>
    <row r="428">
      <c r="A428" s="138"/>
      <c r="B428" s="138"/>
      <c r="C428" s="138"/>
      <c r="D428" s="138"/>
      <c r="E428" s="138"/>
      <c r="F428" s="138"/>
      <c r="G428" s="138"/>
      <c r="H428" s="138"/>
      <c r="I428" s="138"/>
      <c r="J428" s="138"/>
      <c r="K428" s="138"/>
      <c r="L428" s="138"/>
      <c r="M428" s="138"/>
      <c r="N428" s="138"/>
      <c r="O428" s="138"/>
      <c r="P428" s="138"/>
    </row>
    <row r="429">
      <c r="A429" s="138"/>
      <c r="B429" s="138"/>
      <c r="C429" s="138"/>
      <c r="D429" s="138"/>
      <c r="E429" s="138"/>
      <c r="F429" s="138"/>
      <c r="G429" s="138"/>
      <c r="H429" s="138"/>
      <c r="I429" s="138"/>
      <c r="J429" s="138"/>
      <c r="K429" s="138"/>
      <c r="L429" s="138"/>
      <c r="M429" s="138"/>
      <c r="N429" s="138"/>
      <c r="O429" s="138"/>
      <c r="P429" s="138"/>
    </row>
    <row r="430">
      <c r="A430" s="138"/>
      <c r="B430" s="138"/>
      <c r="C430" s="138"/>
      <c r="D430" s="138"/>
      <c r="E430" s="138"/>
      <c r="F430" s="138"/>
      <c r="G430" s="138"/>
      <c r="H430" s="138"/>
      <c r="I430" s="138"/>
      <c r="J430" s="138"/>
      <c r="K430" s="138"/>
      <c r="L430" s="138"/>
      <c r="M430" s="138"/>
      <c r="N430" s="138"/>
      <c r="O430" s="138"/>
      <c r="P430" s="138"/>
    </row>
    <row r="431">
      <c r="A431" s="138"/>
      <c r="B431" s="138"/>
      <c r="C431" s="138"/>
      <c r="D431" s="138"/>
      <c r="E431" s="138"/>
      <c r="F431" s="138"/>
      <c r="G431" s="138"/>
      <c r="H431" s="138"/>
      <c r="I431" s="138"/>
      <c r="J431" s="138"/>
      <c r="K431" s="138"/>
      <c r="L431" s="138"/>
      <c r="M431" s="138"/>
      <c r="N431" s="138"/>
      <c r="O431" s="138"/>
      <c r="P431" s="138"/>
    </row>
    <row r="432">
      <c r="A432" s="138"/>
      <c r="B432" s="138"/>
      <c r="C432" s="138"/>
      <c r="D432" s="138"/>
      <c r="E432" s="138"/>
      <c r="F432" s="138"/>
      <c r="G432" s="138"/>
      <c r="H432" s="138"/>
      <c r="I432" s="138"/>
      <c r="J432" s="138"/>
      <c r="K432" s="138"/>
      <c r="L432" s="138"/>
      <c r="M432" s="138"/>
      <c r="N432" s="138"/>
      <c r="O432" s="138"/>
      <c r="P432" s="138"/>
    </row>
    <row r="433">
      <c r="A433" s="138"/>
      <c r="B433" s="138"/>
      <c r="C433" s="138"/>
      <c r="D433" s="138"/>
      <c r="E433" s="138"/>
      <c r="F433" s="138"/>
      <c r="G433" s="138"/>
      <c r="H433" s="138"/>
      <c r="I433" s="138"/>
      <c r="J433" s="138"/>
      <c r="K433" s="138"/>
      <c r="L433" s="138"/>
      <c r="M433" s="138"/>
      <c r="N433" s="138"/>
      <c r="O433" s="138"/>
      <c r="P433" s="138"/>
    </row>
    <row r="434">
      <c r="A434" s="138"/>
      <c r="B434" s="138"/>
      <c r="C434" s="138"/>
      <c r="D434" s="138"/>
      <c r="E434" s="138"/>
      <c r="F434" s="138"/>
      <c r="G434" s="138"/>
      <c r="H434" s="138"/>
      <c r="I434" s="138"/>
      <c r="J434" s="138"/>
      <c r="K434" s="138"/>
      <c r="L434" s="138"/>
      <c r="M434" s="138"/>
      <c r="N434" s="138"/>
      <c r="O434" s="138"/>
      <c r="P434" s="138"/>
    </row>
    <row r="435">
      <c r="A435" s="138"/>
      <c r="B435" s="138"/>
      <c r="C435" s="138"/>
      <c r="D435" s="138"/>
      <c r="E435" s="138"/>
      <c r="F435" s="138"/>
      <c r="G435" s="138"/>
      <c r="H435" s="138"/>
      <c r="I435" s="138"/>
      <c r="J435" s="138"/>
      <c r="K435" s="138"/>
      <c r="L435" s="138"/>
      <c r="M435" s="138"/>
      <c r="N435" s="138"/>
      <c r="O435" s="138"/>
      <c r="P435" s="138"/>
    </row>
    <row r="436">
      <c r="A436" s="138"/>
      <c r="B436" s="138"/>
      <c r="C436" s="138"/>
      <c r="D436" s="138"/>
      <c r="E436" s="138"/>
      <c r="F436" s="138"/>
      <c r="G436" s="138"/>
      <c r="H436" s="138"/>
      <c r="I436" s="138"/>
      <c r="J436" s="138"/>
      <c r="K436" s="138"/>
      <c r="L436" s="138"/>
      <c r="M436" s="138"/>
      <c r="N436" s="138"/>
      <c r="O436" s="138"/>
      <c r="P436" s="138"/>
    </row>
    <row r="437">
      <c r="A437" s="138"/>
      <c r="B437" s="138"/>
      <c r="C437" s="138"/>
      <c r="D437" s="138"/>
      <c r="E437" s="138"/>
      <c r="F437" s="138"/>
      <c r="G437" s="138"/>
      <c r="H437" s="138"/>
      <c r="I437" s="138"/>
      <c r="J437" s="138"/>
      <c r="K437" s="138"/>
      <c r="L437" s="138"/>
      <c r="M437" s="138"/>
      <c r="N437" s="138"/>
      <c r="O437" s="138"/>
      <c r="P437" s="138"/>
    </row>
    <row r="438">
      <c r="A438" s="138"/>
      <c r="B438" s="138"/>
      <c r="C438" s="138"/>
      <c r="D438" s="138"/>
      <c r="E438" s="138"/>
      <c r="F438" s="138"/>
      <c r="G438" s="138"/>
      <c r="H438" s="138"/>
      <c r="I438" s="138"/>
      <c r="J438" s="138"/>
      <c r="K438" s="138"/>
      <c r="L438" s="138"/>
      <c r="M438" s="138"/>
      <c r="N438" s="138"/>
      <c r="O438" s="138"/>
      <c r="P438" s="138"/>
    </row>
    <row r="439">
      <c r="A439" s="138"/>
      <c r="B439" s="138"/>
      <c r="C439" s="138"/>
      <c r="D439" s="138"/>
      <c r="E439" s="138"/>
      <c r="F439" s="138"/>
      <c r="G439" s="138"/>
      <c r="H439" s="138"/>
      <c r="I439" s="138"/>
      <c r="J439" s="138"/>
      <c r="K439" s="138"/>
      <c r="L439" s="138"/>
      <c r="M439" s="138"/>
      <c r="N439" s="138"/>
      <c r="O439" s="138"/>
      <c r="P439" s="138"/>
    </row>
    <row r="440">
      <c r="A440" s="138"/>
      <c r="B440" s="138"/>
      <c r="C440" s="138"/>
      <c r="D440" s="138"/>
      <c r="E440" s="138"/>
      <c r="F440" s="138"/>
      <c r="G440" s="138"/>
      <c r="H440" s="138"/>
      <c r="I440" s="138"/>
      <c r="J440" s="138"/>
      <c r="K440" s="138"/>
      <c r="L440" s="138"/>
      <c r="M440" s="138"/>
      <c r="N440" s="138"/>
      <c r="O440" s="138"/>
      <c r="P440" s="138"/>
    </row>
    <row r="441">
      <c r="A441" s="138"/>
      <c r="B441" s="138"/>
      <c r="C441" s="138"/>
      <c r="D441" s="138"/>
      <c r="E441" s="138"/>
      <c r="F441" s="138"/>
      <c r="G441" s="138"/>
      <c r="H441" s="138"/>
      <c r="I441" s="138"/>
      <c r="J441" s="138"/>
      <c r="K441" s="138"/>
      <c r="L441" s="138"/>
      <c r="M441" s="138"/>
      <c r="N441" s="138"/>
      <c r="O441" s="138"/>
      <c r="P441" s="138"/>
    </row>
    <row r="442">
      <c r="A442" s="138"/>
      <c r="B442" s="138"/>
      <c r="C442" s="138"/>
      <c r="D442" s="138"/>
      <c r="E442" s="138"/>
      <c r="F442" s="138"/>
      <c r="G442" s="138"/>
      <c r="H442" s="138"/>
      <c r="I442" s="138"/>
      <c r="J442" s="138"/>
      <c r="K442" s="138"/>
      <c r="L442" s="138"/>
      <c r="M442" s="138"/>
      <c r="N442" s="138"/>
      <c r="O442" s="138"/>
      <c r="P442" s="138"/>
    </row>
    <row r="443">
      <c r="A443" s="138"/>
      <c r="B443" s="138"/>
      <c r="C443" s="138"/>
      <c r="D443" s="138"/>
      <c r="E443" s="138"/>
      <c r="F443" s="138"/>
      <c r="G443" s="138"/>
      <c r="H443" s="138"/>
      <c r="I443" s="138"/>
      <c r="J443" s="138"/>
      <c r="K443" s="138"/>
      <c r="L443" s="138"/>
      <c r="M443" s="138"/>
      <c r="N443" s="138"/>
      <c r="O443" s="138"/>
      <c r="P443" s="138"/>
    </row>
    <row r="444">
      <c r="A444" s="138"/>
      <c r="B444" s="138"/>
      <c r="C444" s="138"/>
      <c r="D444" s="138"/>
      <c r="E444" s="138"/>
      <c r="F444" s="138"/>
      <c r="G444" s="138"/>
      <c r="H444" s="138"/>
      <c r="I444" s="138"/>
      <c r="J444" s="138"/>
      <c r="K444" s="138"/>
      <c r="L444" s="138"/>
      <c r="M444" s="138"/>
      <c r="N444" s="138"/>
      <c r="O444" s="138"/>
      <c r="P444" s="138"/>
    </row>
    <row r="445">
      <c r="A445" s="138"/>
      <c r="B445" s="138"/>
      <c r="C445" s="138"/>
      <c r="D445" s="138"/>
      <c r="E445" s="138"/>
      <c r="F445" s="138"/>
      <c r="G445" s="138"/>
      <c r="H445" s="138"/>
      <c r="I445" s="138"/>
      <c r="J445" s="138"/>
      <c r="K445" s="138"/>
      <c r="L445" s="138"/>
      <c r="M445" s="138"/>
      <c r="N445" s="138"/>
      <c r="O445" s="138"/>
      <c r="P445" s="138"/>
    </row>
    <row r="446">
      <c r="A446" s="138"/>
      <c r="B446" s="138"/>
      <c r="C446" s="138"/>
      <c r="D446" s="138"/>
      <c r="E446" s="138"/>
      <c r="F446" s="138"/>
      <c r="G446" s="138"/>
      <c r="H446" s="138"/>
      <c r="I446" s="138"/>
      <c r="J446" s="138"/>
      <c r="K446" s="138"/>
      <c r="L446" s="138"/>
      <c r="M446" s="138"/>
      <c r="N446" s="138"/>
      <c r="O446" s="138"/>
      <c r="P446" s="138"/>
    </row>
    <row r="447">
      <c r="A447" s="138"/>
      <c r="B447" s="138"/>
      <c r="C447" s="138"/>
      <c r="D447" s="138"/>
      <c r="E447" s="138"/>
      <c r="F447" s="138"/>
      <c r="G447" s="138"/>
      <c r="H447" s="138"/>
      <c r="I447" s="138"/>
      <c r="J447" s="138"/>
      <c r="K447" s="138"/>
      <c r="L447" s="138"/>
      <c r="M447" s="138"/>
      <c r="N447" s="138"/>
      <c r="O447" s="138"/>
      <c r="P447" s="138"/>
    </row>
    <row r="448">
      <c r="A448" s="138"/>
      <c r="B448" s="138"/>
      <c r="C448" s="138"/>
      <c r="D448" s="138"/>
      <c r="E448" s="138"/>
      <c r="F448" s="138"/>
      <c r="G448" s="138"/>
      <c r="H448" s="138"/>
      <c r="I448" s="138"/>
      <c r="J448" s="138"/>
      <c r="K448" s="138"/>
      <c r="L448" s="138"/>
      <c r="M448" s="138"/>
      <c r="N448" s="138"/>
      <c r="O448" s="138"/>
      <c r="P448" s="138"/>
    </row>
    <row r="449">
      <c r="A449" s="138"/>
      <c r="B449" s="138"/>
      <c r="C449" s="138"/>
      <c r="D449" s="138"/>
      <c r="E449" s="138"/>
      <c r="F449" s="138"/>
      <c r="G449" s="138"/>
      <c r="H449" s="138"/>
      <c r="I449" s="138"/>
      <c r="J449" s="138"/>
      <c r="K449" s="138"/>
      <c r="L449" s="138"/>
      <c r="M449" s="138"/>
      <c r="N449" s="138"/>
      <c r="O449" s="138"/>
      <c r="P449" s="138"/>
    </row>
    <row r="450">
      <c r="A450" s="138"/>
      <c r="B450" s="138"/>
      <c r="C450" s="138"/>
      <c r="D450" s="138"/>
      <c r="E450" s="138"/>
      <c r="F450" s="138"/>
      <c r="G450" s="138"/>
      <c r="H450" s="138"/>
      <c r="I450" s="138"/>
      <c r="J450" s="138"/>
      <c r="K450" s="138"/>
      <c r="L450" s="138"/>
      <c r="M450" s="138"/>
      <c r="N450" s="138"/>
      <c r="O450" s="138"/>
      <c r="P450" s="138"/>
    </row>
    <row r="451">
      <c r="A451" s="138"/>
      <c r="B451" s="138"/>
      <c r="C451" s="138"/>
      <c r="D451" s="138"/>
      <c r="E451" s="138"/>
      <c r="F451" s="138"/>
      <c r="G451" s="138"/>
      <c r="H451" s="138"/>
      <c r="I451" s="138"/>
      <c r="J451" s="138"/>
      <c r="K451" s="138"/>
      <c r="L451" s="138"/>
      <c r="M451" s="138"/>
      <c r="N451" s="138"/>
      <c r="O451" s="138"/>
      <c r="P451" s="138"/>
    </row>
    <row r="452">
      <c r="A452" s="138"/>
      <c r="B452" s="138"/>
      <c r="C452" s="138"/>
      <c r="D452" s="138"/>
      <c r="E452" s="138"/>
      <c r="F452" s="138"/>
      <c r="G452" s="138"/>
      <c r="H452" s="138"/>
      <c r="I452" s="138"/>
      <c r="J452" s="138"/>
      <c r="K452" s="138"/>
      <c r="L452" s="138"/>
      <c r="M452" s="138"/>
      <c r="N452" s="138"/>
      <c r="O452" s="138"/>
      <c r="P452" s="138"/>
    </row>
    <row r="453">
      <c r="A453" s="138"/>
      <c r="B453" s="138"/>
      <c r="C453" s="138"/>
      <c r="D453" s="138"/>
      <c r="E453" s="138"/>
      <c r="F453" s="138"/>
      <c r="G453" s="138"/>
      <c r="H453" s="138"/>
      <c r="I453" s="138"/>
      <c r="J453" s="138"/>
      <c r="K453" s="138"/>
      <c r="L453" s="138"/>
      <c r="M453" s="138"/>
      <c r="N453" s="138"/>
      <c r="O453" s="138"/>
      <c r="P453" s="138"/>
    </row>
    <row r="454">
      <c r="A454" s="138"/>
      <c r="B454" s="138"/>
      <c r="C454" s="138"/>
      <c r="D454" s="138"/>
      <c r="E454" s="138"/>
      <c r="F454" s="138"/>
      <c r="G454" s="138"/>
      <c r="H454" s="138"/>
      <c r="I454" s="138"/>
      <c r="J454" s="138"/>
      <c r="K454" s="138"/>
      <c r="L454" s="138"/>
      <c r="M454" s="138"/>
      <c r="N454" s="138"/>
      <c r="O454" s="138"/>
      <c r="P454" s="138"/>
    </row>
    <row r="455">
      <c r="A455" s="138"/>
      <c r="B455" s="138"/>
      <c r="C455" s="138"/>
      <c r="D455" s="138"/>
      <c r="E455" s="138"/>
      <c r="F455" s="138"/>
      <c r="G455" s="138"/>
      <c r="H455" s="138"/>
      <c r="I455" s="138"/>
      <c r="J455" s="138"/>
      <c r="K455" s="138"/>
      <c r="L455" s="138"/>
      <c r="M455" s="138"/>
      <c r="N455" s="138"/>
      <c r="O455" s="138"/>
      <c r="P455" s="138"/>
    </row>
    <row r="456">
      <c r="A456" s="138"/>
      <c r="B456" s="138"/>
      <c r="C456" s="138"/>
      <c r="D456" s="138"/>
      <c r="E456" s="138"/>
      <c r="F456" s="138"/>
      <c r="G456" s="138"/>
      <c r="H456" s="138"/>
      <c r="I456" s="138"/>
      <c r="J456" s="138"/>
      <c r="K456" s="138"/>
      <c r="L456" s="138"/>
      <c r="M456" s="138"/>
      <c r="N456" s="138"/>
      <c r="O456" s="138"/>
      <c r="P456" s="138"/>
    </row>
    <row r="457">
      <c r="A457" s="138"/>
      <c r="B457" s="138"/>
      <c r="C457" s="138"/>
      <c r="D457" s="138"/>
      <c r="E457" s="138"/>
      <c r="F457" s="138"/>
      <c r="G457" s="138"/>
      <c r="H457" s="138"/>
      <c r="I457" s="138"/>
      <c r="J457" s="138"/>
      <c r="K457" s="138"/>
      <c r="L457" s="138"/>
      <c r="M457" s="138"/>
      <c r="N457" s="138"/>
      <c r="O457" s="138"/>
      <c r="P457" s="138"/>
    </row>
    <row r="458">
      <c r="A458" s="138"/>
      <c r="B458" s="138"/>
      <c r="C458" s="138"/>
      <c r="D458" s="138"/>
      <c r="E458" s="138"/>
      <c r="F458" s="138"/>
      <c r="G458" s="138"/>
      <c r="H458" s="138"/>
      <c r="I458" s="138"/>
      <c r="J458" s="138"/>
      <c r="K458" s="138"/>
      <c r="L458" s="138"/>
      <c r="M458" s="138"/>
      <c r="N458" s="138"/>
      <c r="O458" s="138"/>
      <c r="P458" s="138"/>
    </row>
    <row r="459">
      <c r="A459" s="138"/>
      <c r="B459" s="138"/>
      <c r="C459" s="138"/>
      <c r="D459" s="138"/>
      <c r="E459" s="138"/>
      <c r="F459" s="138"/>
      <c r="G459" s="138"/>
      <c r="H459" s="138"/>
      <c r="I459" s="138"/>
      <c r="J459" s="138"/>
      <c r="K459" s="138"/>
      <c r="L459" s="138"/>
      <c r="M459" s="138"/>
      <c r="N459" s="138"/>
      <c r="O459" s="138"/>
      <c r="P459" s="138"/>
    </row>
    <row r="460">
      <c r="A460" s="138"/>
      <c r="B460" s="138"/>
      <c r="C460" s="138"/>
      <c r="D460" s="138"/>
      <c r="E460" s="138"/>
      <c r="F460" s="138"/>
      <c r="G460" s="138"/>
      <c r="H460" s="138"/>
      <c r="I460" s="138"/>
      <c r="J460" s="138"/>
      <c r="K460" s="138"/>
      <c r="L460" s="138"/>
      <c r="M460" s="138"/>
      <c r="N460" s="138"/>
      <c r="O460" s="138"/>
      <c r="P460" s="138"/>
    </row>
    <row r="461">
      <c r="A461" s="138"/>
      <c r="B461" s="138"/>
      <c r="C461" s="138"/>
      <c r="D461" s="138"/>
      <c r="E461" s="138"/>
      <c r="F461" s="138"/>
      <c r="G461" s="138"/>
      <c r="H461" s="138"/>
      <c r="I461" s="138"/>
      <c r="J461" s="138"/>
      <c r="K461" s="138"/>
      <c r="L461" s="138"/>
      <c r="M461" s="138"/>
      <c r="N461" s="138"/>
      <c r="O461" s="138"/>
      <c r="P461" s="138"/>
    </row>
    <row r="462">
      <c r="A462" s="138"/>
      <c r="B462" s="138"/>
      <c r="C462" s="138"/>
      <c r="D462" s="138"/>
      <c r="E462" s="138"/>
      <c r="F462" s="138"/>
      <c r="G462" s="138"/>
      <c r="H462" s="138"/>
      <c r="I462" s="138"/>
      <c r="J462" s="138"/>
      <c r="K462" s="138"/>
      <c r="L462" s="138"/>
      <c r="M462" s="138"/>
      <c r="N462" s="138"/>
      <c r="O462" s="138"/>
      <c r="P462" s="138"/>
    </row>
    <row r="463">
      <c r="A463" s="138"/>
      <c r="B463" s="138"/>
      <c r="C463" s="138"/>
      <c r="D463" s="138"/>
      <c r="E463" s="138"/>
      <c r="F463" s="138"/>
      <c r="G463" s="138"/>
      <c r="H463" s="138"/>
      <c r="I463" s="138"/>
      <c r="J463" s="138"/>
      <c r="K463" s="138"/>
      <c r="L463" s="138"/>
      <c r="M463" s="138"/>
      <c r="N463" s="138"/>
      <c r="O463" s="138"/>
      <c r="P463" s="138"/>
    </row>
    <row r="464">
      <c r="A464" s="138"/>
      <c r="B464" s="138"/>
      <c r="C464" s="138"/>
      <c r="D464" s="138"/>
      <c r="E464" s="138"/>
      <c r="F464" s="138"/>
      <c r="G464" s="138"/>
      <c r="H464" s="138"/>
      <c r="I464" s="138"/>
      <c r="J464" s="138"/>
      <c r="K464" s="138"/>
      <c r="L464" s="138"/>
      <c r="M464" s="138"/>
      <c r="N464" s="138"/>
      <c r="O464" s="138"/>
      <c r="P464" s="138"/>
    </row>
    <row r="465">
      <c r="A465" s="138"/>
      <c r="B465" s="138"/>
      <c r="C465" s="138"/>
      <c r="D465" s="138"/>
      <c r="E465" s="138"/>
      <c r="F465" s="138"/>
      <c r="G465" s="138"/>
      <c r="H465" s="138"/>
      <c r="I465" s="138"/>
      <c r="J465" s="138"/>
      <c r="K465" s="138"/>
      <c r="L465" s="138"/>
      <c r="M465" s="138"/>
      <c r="N465" s="138"/>
      <c r="O465" s="138"/>
      <c r="P465" s="138"/>
    </row>
    <row r="466">
      <c r="A466" s="138"/>
      <c r="B466" s="138"/>
      <c r="C466" s="138"/>
      <c r="D466" s="138"/>
      <c r="E466" s="138"/>
      <c r="F466" s="138"/>
      <c r="G466" s="138"/>
      <c r="H466" s="138"/>
      <c r="I466" s="138"/>
      <c r="J466" s="138"/>
      <c r="K466" s="138"/>
      <c r="L466" s="138"/>
      <c r="M466" s="138"/>
      <c r="N466" s="138"/>
      <c r="O466" s="138"/>
      <c r="P466" s="138"/>
    </row>
    <row r="467">
      <c r="A467" s="138"/>
      <c r="B467" s="138"/>
      <c r="C467" s="138"/>
      <c r="D467" s="138"/>
      <c r="E467" s="138"/>
      <c r="F467" s="138"/>
      <c r="G467" s="138"/>
      <c r="H467" s="138"/>
      <c r="I467" s="138"/>
      <c r="J467" s="138"/>
      <c r="K467" s="138"/>
      <c r="L467" s="138"/>
      <c r="M467" s="138"/>
      <c r="N467" s="138"/>
      <c r="O467" s="138"/>
      <c r="P467" s="138"/>
    </row>
    <row r="468">
      <c r="A468" s="138"/>
      <c r="B468" s="138"/>
      <c r="C468" s="138"/>
      <c r="D468" s="138"/>
      <c r="E468" s="138"/>
      <c r="F468" s="138"/>
      <c r="G468" s="138"/>
      <c r="H468" s="138"/>
      <c r="I468" s="138"/>
      <c r="J468" s="138"/>
      <c r="K468" s="138"/>
      <c r="L468" s="138"/>
      <c r="M468" s="138"/>
      <c r="N468" s="138"/>
      <c r="O468" s="138"/>
      <c r="P468" s="138"/>
    </row>
    <row r="469">
      <c r="A469" s="138"/>
      <c r="B469" s="138"/>
      <c r="C469" s="138"/>
      <c r="D469" s="138"/>
      <c r="E469" s="138"/>
      <c r="F469" s="138"/>
      <c r="G469" s="138"/>
      <c r="H469" s="138"/>
      <c r="I469" s="138"/>
      <c r="J469" s="138"/>
      <c r="K469" s="138"/>
      <c r="L469" s="138"/>
      <c r="M469" s="138"/>
      <c r="N469" s="138"/>
      <c r="O469" s="138"/>
      <c r="P469" s="138"/>
    </row>
    <row r="470">
      <c r="A470" s="138"/>
      <c r="B470" s="138"/>
      <c r="C470" s="138"/>
      <c r="D470" s="138"/>
      <c r="E470" s="138"/>
      <c r="F470" s="138"/>
      <c r="G470" s="138"/>
      <c r="H470" s="138"/>
      <c r="I470" s="138"/>
      <c r="J470" s="138"/>
      <c r="K470" s="138"/>
      <c r="L470" s="138"/>
      <c r="M470" s="138"/>
      <c r="N470" s="138"/>
      <c r="O470" s="138"/>
      <c r="P470" s="138"/>
    </row>
    <row r="471">
      <c r="A471" s="138"/>
      <c r="B471" s="138"/>
      <c r="C471" s="138"/>
      <c r="D471" s="138"/>
      <c r="E471" s="138"/>
      <c r="F471" s="138"/>
      <c r="G471" s="138"/>
      <c r="H471" s="138"/>
      <c r="I471" s="138"/>
      <c r="J471" s="138"/>
      <c r="K471" s="138"/>
      <c r="L471" s="138"/>
      <c r="M471" s="138"/>
      <c r="N471" s="138"/>
      <c r="O471" s="138"/>
      <c r="P471" s="138"/>
    </row>
    <row r="472">
      <c r="A472" s="138"/>
      <c r="B472" s="138"/>
      <c r="C472" s="138"/>
      <c r="D472" s="138"/>
      <c r="E472" s="138"/>
      <c r="F472" s="138"/>
      <c r="G472" s="138"/>
      <c r="H472" s="138"/>
      <c r="I472" s="138"/>
      <c r="J472" s="138"/>
      <c r="K472" s="138"/>
      <c r="L472" s="138"/>
      <c r="M472" s="138"/>
      <c r="N472" s="138"/>
      <c r="O472" s="138"/>
      <c r="P472" s="138"/>
    </row>
    <row r="473">
      <c r="A473" s="138"/>
      <c r="B473" s="138"/>
      <c r="C473" s="138"/>
      <c r="D473" s="138"/>
      <c r="E473" s="138"/>
      <c r="F473" s="138"/>
      <c r="G473" s="138"/>
      <c r="H473" s="138"/>
      <c r="I473" s="138"/>
      <c r="J473" s="138"/>
      <c r="K473" s="138"/>
      <c r="L473" s="138"/>
      <c r="M473" s="138"/>
      <c r="N473" s="138"/>
      <c r="O473" s="138"/>
      <c r="P473" s="138"/>
    </row>
    <row r="474">
      <c r="A474" s="138"/>
      <c r="B474" s="138"/>
      <c r="C474" s="138"/>
      <c r="D474" s="138"/>
      <c r="E474" s="138"/>
      <c r="F474" s="138"/>
      <c r="G474" s="138"/>
      <c r="H474" s="138"/>
      <c r="I474" s="138"/>
      <c r="J474" s="138"/>
      <c r="K474" s="138"/>
      <c r="L474" s="138"/>
      <c r="M474" s="138"/>
      <c r="N474" s="138"/>
      <c r="O474" s="138"/>
      <c r="P474" s="138"/>
    </row>
    <row r="475">
      <c r="A475" s="138"/>
      <c r="B475" s="138"/>
      <c r="C475" s="138"/>
      <c r="D475" s="138"/>
      <c r="E475" s="138"/>
      <c r="F475" s="138"/>
      <c r="G475" s="138"/>
      <c r="H475" s="138"/>
      <c r="I475" s="138"/>
      <c r="J475" s="138"/>
      <c r="K475" s="138"/>
      <c r="L475" s="138"/>
      <c r="M475" s="138"/>
      <c r="N475" s="138"/>
      <c r="O475" s="138"/>
      <c r="P475" s="138"/>
    </row>
    <row r="476">
      <c r="A476" s="138"/>
      <c r="B476" s="138"/>
      <c r="C476" s="138"/>
      <c r="D476" s="138"/>
      <c r="E476" s="138"/>
      <c r="F476" s="138"/>
      <c r="G476" s="138"/>
      <c r="H476" s="138"/>
      <c r="I476" s="138"/>
      <c r="J476" s="138"/>
      <c r="K476" s="138"/>
      <c r="L476" s="138"/>
      <c r="M476" s="138"/>
      <c r="N476" s="138"/>
      <c r="O476" s="138"/>
      <c r="P476" s="138"/>
    </row>
    <row r="477">
      <c r="A477" s="138"/>
      <c r="B477" s="138"/>
      <c r="C477" s="138"/>
      <c r="D477" s="138"/>
      <c r="E477" s="138"/>
      <c r="F477" s="138"/>
      <c r="G477" s="138"/>
      <c r="H477" s="138"/>
      <c r="I477" s="138"/>
      <c r="J477" s="138"/>
      <c r="K477" s="138"/>
      <c r="L477" s="138"/>
      <c r="M477" s="138"/>
      <c r="N477" s="138"/>
      <c r="O477" s="138"/>
      <c r="P477" s="138"/>
    </row>
    <row r="478">
      <c r="A478" s="138"/>
      <c r="B478" s="138"/>
      <c r="C478" s="138"/>
      <c r="D478" s="138"/>
      <c r="E478" s="138"/>
      <c r="F478" s="138"/>
      <c r="G478" s="138"/>
      <c r="H478" s="138"/>
      <c r="I478" s="138"/>
      <c r="J478" s="138"/>
      <c r="K478" s="138"/>
      <c r="L478" s="138"/>
      <c r="M478" s="138"/>
      <c r="N478" s="138"/>
      <c r="O478" s="138"/>
      <c r="P478" s="138"/>
    </row>
    <row r="479">
      <c r="A479" s="138"/>
      <c r="B479" s="138"/>
      <c r="C479" s="138"/>
      <c r="D479" s="138"/>
      <c r="E479" s="138"/>
      <c r="F479" s="138"/>
      <c r="G479" s="138"/>
      <c r="H479" s="138"/>
      <c r="I479" s="138"/>
      <c r="J479" s="138"/>
      <c r="K479" s="138"/>
      <c r="L479" s="138"/>
      <c r="M479" s="138"/>
      <c r="N479" s="138"/>
      <c r="O479" s="138"/>
      <c r="P479" s="138"/>
    </row>
    <row r="480">
      <c r="A480" s="138"/>
      <c r="B480" s="138"/>
      <c r="C480" s="138"/>
      <c r="D480" s="138"/>
      <c r="E480" s="138"/>
      <c r="F480" s="138"/>
      <c r="G480" s="138"/>
      <c r="H480" s="138"/>
      <c r="I480" s="138"/>
      <c r="J480" s="138"/>
      <c r="K480" s="138"/>
      <c r="L480" s="138"/>
      <c r="M480" s="138"/>
      <c r="N480" s="138"/>
      <c r="O480" s="138"/>
      <c r="P480" s="138"/>
    </row>
    <row r="481">
      <c r="A481" s="138"/>
      <c r="B481" s="138"/>
      <c r="C481" s="138"/>
      <c r="D481" s="138"/>
      <c r="E481" s="138"/>
      <c r="F481" s="138"/>
      <c r="G481" s="138"/>
      <c r="H481" s="138"/>
      <c r="I481" s="138"/>
      <c r="J481" s="138"/>
      <c r="K481" s="138"/>
      <c r="L481" s="138"/>
      <c r="M481" s="138"/>
      <c r="N481" s="138"/>
      <c r="O481" s="138"/>
      <c r="P481" s="138"/>
    </row>
    <row r="482">
      <c r="A482" s="138"/>
      <c r="B482" s="138"/>
      <c r="C482" s="138"/>
      <c r="D482" s="138"/>
      <c r="E482" s="138"/>
      <c r="F482" s="138"/>
      <c r="G482" s="138"/>
      <c r="H482" s="138"/>
      <c r="I482" s="138"/>
      <c r="J482" s="138"/>
      <c r="K482" s="138"/>
      <c r="L482" s="138"/>
      <c r="M482" s="138"/>
      <c r="N482" s="138"/>
      <c r="O482" s="138"/>
      <c r="P482" s="138"/>
    </row>
    <row r="483">
      <c r="A483" s="138"/>
      <c r="B483" s="138"/>
      <c r="C483" s="138"/>
      <c r="D483" s="138"/>
      <c r="E483" s="138"/>
      <c r="F483" s="138"/>
      <c r="G483" s="138"/>
      <c r="H483" s="138"/>
      <c r="I483" s="138"/>
      <c r="J483" s="138"/>
      <c r="K483" s="138"/>
      <c r="L483" s="138"/>
      <c r="M483" s="138"/>
      <c r="N483" s="138"/>
      <c r="O483" s="138"/>
      <c r="P483" s="138"/>
    </row>
    <row r="484">
      <c r="A484" s="138"/>
      <c r="B484" s="138"/>
      <c r="C484" s="138"/>
      <c r="D484" s="138"/>
      <c r="E484" s="138"/>
      <c r="F484" s="138"/>
      <c r="G484" s="138"/>
      <c r="H484" s="138"/>
      <c r="I484" s="138"/>
      <c r="J484" s="138"/>
      <c r="K484" s="138"/>
      <c r="L484" s="138"/>
      <c r="M484" s="138"/>
      <c r="N484" s="138"/>
      <c r="O484" s="138"/>
      <c r="P484" s="138"/>
    </row>
    <row r="485">
      <c r="A485" s="138"/>
      <c r="B485" s="138"/>
      <c r="C485" s="138"/>
      <c r="D485" s="138"/>
      <c r="E485" s="138"/>
      <c r="F485" s="138"/>
      <c r="G485" s="138"/>
      <c r="H485" s="138"/>
      <c r="I485" s="138"/>
      <c r="J485" s="138"/>
      <c r="K485" s="138"/>
      <c r="L485" s="138"/>
      <c r="M485" s="138"/>
      <c r="N485" s="138"/>
      <c r="O485" s="138"/>
      <c r="P485" s="138"/>
    </row>
    <row r="486">
      <c r="A486" s="138"/>
      <c r="B486" s="138"/>
      <c r="C486" s="138"/>
      <c r="D486" s="138"/>
      <c r="E486" s="138"/>
      <c r="F486" s="138"/>
      <c r="G486" s="138"/>
      <c r="H486" s="138"/>
      <c r="I486" s="138"/>
      <c r="J486" s="138"/>
      <c r="K486" s="138"/>
      <c r="L486" s="138"/>
      <c r="M486" s="138"/>
      <c r="N486" s="138"/>
      <c r="O486" s="138"/>
      <c r="P486" s="138"/>
    </row>
    <row r="487">
      <c r="A487" s="138"/>
      <c r="B487" s="138"/>
      <c r="C487" s="138"/>
      <c r="D487" s="138"/>
      <c r="E487" s="138"/>
      <c r="F487" s="138"/>
      <c r="G487" s="138"/>
      <c r="H487" s="138"/>
      <c r="I487" s="138"/>
      <c r="J487" s="138"/>
      <c r="K487" s="138"/>
      <c r="L487" s="138"/>
      <c r="M487" s="138"/>
      <c r="N487" s="138"/>
      <c r="O487" s="138"/>
      <c r="P487" s="138"/>
    </row>
    <row r="488">
      <c r="A488" s="138"/>
      <c r="B488" s="138"/>
      <c r="C488" s="138"/>
      <c r="D488" s="138"/>
      <c r="E488" s="138"/>
      <c r="F488" s="138"/>
      <c r="G488" s="138"/>
      <c r="H488" s="138"/>
      <c r="I488" s="138"/>
      <c r="J488" s="138"/>
      <c r="K488" s="138"/>
      <c r="L488" s="138"/>
      <c r="M488" s="138"/>
      <c r="N488" s="138"/>
      <c r="O488" s="138"/>
      <c r="P488" s="138"/>
    </row>
    <row r="489">
      <c r="A489" s="138"/>
      <c r="B489" s="138"/>
      <c r="C489" s="138"/>
      <c r="D489" s="138"/>
      <c r="E489" s="138"/>
      <c r="F489" s="138"/>
      <c r="G489" s="138"/>
      <c r="H489" s="138"/>
      <c r="I489" s="138"/>
      <c r="J489" s="138"/>
      <c r="K489" s="138"/>
      <c r="L489" s="138"/>
      <c r="M489" s="138"/>
      <c r="N489" s="138"/>
      <c r="O489" s="138"/>
      <c r="P489" s="138"/>
    </row>
    <row r="490">
      <c r="A490" s="138"/>
      <c r="B490" s="138"/>
      <c r="C490" s="138"/>
      <c r="D490" s="138"/>
      <c r="E490" s="138"/>
      <c r="F490" s="138"/>
      <c r="G490" s="138"/>
      <c r="H490" s="138"/>
      <c r="I490" s="138"/>
      <c r="J490" s="138"/>
      <c r="K490" s="138"/>
      <c r="L490" s="138"/>
      <c r="M490" s="138"/>
      <c r="N490" s="138"/>
      <c r="O490" s="138"/>
      <c r="P490" s="138"/>
    </row>
    <row r="491">
      <c r="A491" s="138"/>
      <c r="B491" s="138"/>
      <c r="C491" s="138"/>
      <c r="D491" s="138"/>
      <c r="E491" s="138"/>
      <c r="F491" s="138"/>
      <c r="G491" s="138"/>
      <c r="H491" s="138"/>
      <c r="I491" s="138"/>
      <c r="J491" s="138"/>
      <c r="K491" s="138"/>
      <c r="L491" s="138"/>
      <c r="M491" s="138"/>
      <c r="N491" s="138"/>
      <c r="O491" s="138"/>
      <c r="P491" s="138"/>
    </row>
    <row r="492">
      <c r="A492" s="138"/>
      <c r="B492" s="138"/>
      <c r="C492" s="138"/>
      <c r="D492" s="138"/>
      <c r="E492" s="138"/>
      <c r="F492" s="138"/>
      <c r="G492" s="138"/>
      <c r="H492" s="138"/>
      <c r="I492" s="138"/>
      <c r="J492" s="138"/>
      <c r="K492" s="138"/>
      <c r="L492" s="138"/>
      <c r="M492" s="138"/>
      <c r="N492" s="138"/>
      <c r="O492" s="138"/>
      <c r="P492" s="138"/>
    </row>
    <row r="493">
      <c r="A493" s="138"/>
      <c r="B493" s="138"/>
      <c r="C493" s="138"/>
      <c r="D493" s="138"/>
      <c r="E493" s="138"/>
      <c r="F493" s="138"/>
      <c r="G493" s="138"/>
      <c r="H493" s="138"/>
      <c r="I493" s="138"/>
      <c r="J493" s="138"/>
      <c r="K493" s="138"/>
      <c r="L493" s="138"/>
      <c r="M493" s="138"/>
      <c r="N493" s="138"/>
      <c r="O493" s="138"/>
      <c r="P493" s="138"/>
    </row>
    <row r="494">
      <c r="A494" s="138"/>
      <c r="B494" s="138"/>
      <c r="C494" s="138"/>
      <c r="D494" s="138"/>
      <c r="E494" s="138"/>
      <c r="F494" s="138"/>
      <c r="G494" s="138"/>
      <c r="H494" s="138"/>
      <c r="I494" s="138"/>
      <c r="J494" s="138"/>
      <c r="K494" s="138"/>
      <c r="L494" s="138"/>
      <c r="M494" s="138"/>
      <c r="N494" s="138"/>
      <c r="O494" s="138"/>
      <c r="P494" s="138"/>
    </row>
    <row r="495">
      <c r="A495" s="138"/>
      <c r="B495" s="138"/>
      <c r="C495" s="138"/>
      <c r="D495" s="138"/>
      <c r="E495" s="138"/>
      <c r="F495" s="138"/>
      <c r="G495" s="138"/>
      <c r="H495" s="138"/>
      <c r="I495" s="138"/>
      <c r="J495" s="138"/>
      <c r="K495" s="138"/>
      <c r="L495" s="138"/>
      <c r="M495" s="138"/>
      <c r="N495" s="138"/>
      <c r="O495" s="138"/>
      <c r="P495" s="138"/>
    </row>
    <row r="496">
      <c r="A496" s="138"/>
      <c r="B496" s="138"/>
      <c r="C496" s="138"/>
      <c r="D496" s="138"/>
      <c r="E496" s="138"/>
      <c r="F496" s="138"/>
      <c r="G496" s="138"/>
      <c r="H496" s="138"/>
      <c r="I496" s="138"/>
      <c r="J496" s="138"/>
      <c r="K496" s="138"/>
      <c r="L496" s="138"/>
      <c r="M496" s="138"/>
      <c r="N496" s="138"/>
      <c r="O496" s="138"/>
      <c r="P496" s="138"/>
    </row>
    <row r="497">
      <c r="A497" s="138"/>
      <c r="B497" s="138"/>
      <c r="C497" s="138"/>
      <c r="D497" s="138"/>
      <c r="E497" s="138"/>
      <c r="F497" s="138"/>
      <c r="G497" s="138"/>
      <c r="H497" s="138"/>
      <c r="I497" s="138"/>
      <c r="J497" s="138"/>
      <c r="K497" s="138"/>
      <c r="L497" s="138"/>
      <c r="M497" s="138"/>
      <c r="N497" s="138"/>
      <c r="O497" s="138"/>
      <c r="P497" s="138"/>
    </row>
    <row r="498">
      <c r="A498" s="138"/>
      <c r="B498" s="138"/>
      <c r="C498" s="138"/>
      <c r="D498" s="138"/>
      <c r="E498" s="138"/>
      <c r="F498" s="138"/>
      <c r="G498" s="138"/>
      <c r="H498" s="138"/>
      <c r="I498" s="138"/>
      <c r="J498" s="138"/>
      <c r="K498" s="138"/>
      <c r="L498" s="138"/>
      <c r="M498" s="138"/>
      <c r="N498" s="138"/>
      <c r="O498" s="138"/>
      <c r="P498" s="138"/>
    </row>
    <row r="499">
      <c r="A499" s="138"/>
      <c r="B499" s="138"/>
      <c r="C499" s="138"/>
      <c r="D499" s="138"/>
      <c r="E499" s="138"/>
      <c r="F499" s="138"/>
      <c r="G499" s="138"/>
      <c r="H499" s="138"/>
      <c r="I499" s="138"/>
      <c r="J499" s="138"/>
      <c r="K499" s="138"/>
      <c r="L499" s="138"/>
      <c r="M499" s="138"/>
      <c r="N499" s="138"/>
      <c r="O499" s="138"/>
      <c r="P499" s="138"/>
    </row>
    <row r="500">
      <c r="A500" s="138"/>
      <c r="B500" s="138"/>
      <c r="C500" s="138"/>
      <c r="D500" s="138"/>
      <c r="E500" s="138"/>
      <c r="F500" s="138"/>
      <c r="G500" s="138"/>
      <c r="H500" s="138"/>
      <c r="I500" s="138"/>
      <c r="J500" s="138"/>
      <c r="K500" s="138"/>
      <c r="L500" s="138"/>
      <c r="M500" s="138"/>
      <c r="N500" s="138"/>
      <c r="O500" s="138"/>
      <c r="P500" s="138"/>
    </row>
    <row r="501">
      <c r="A501" s="138"/>
      <c r="B501" s="138"/>
      <c r="C501" s="138"/>
      <c r="D501" s="138"/>
      <c r="E501" s="138"/>
      <c r="F501" s="138"/>
      <c r="G501" s="138"/>
      <c r="H501" s="138"/>
      <c r="I501" s="138"/>
      <c r="J501" s="138"/>
      <c r="K501" s="138"/>
      <c r="L501" s="138"/>
      <c r="M501" s="138"/>
      <c r="N501" s="138"/>
      <c r="O501" s="138"/>
      <c r="P501" s="138"/>
    </row>
    <row r="502">
      <c r="A502" s="138"/>
      <c r="B502" s="138"/>
      <c r="C502" s="138"/>
      <c r="D502" s="138"/>
      <c r="E502" s="138"/>
      <c r="F502" s="138"/>
      <c r="G502" s="138"/>
      <c r="H502" s="138"/>
      <c r="I502" s="138"/>
      <c r="J502" s="138"/>
      <c r="K502" s="138"/>
      <c r="L502" s="138"/>
      <c r="M502" s="138"/>
      <c r="N502" s="138"/>
      <c r="O502" s="138"/>
      <c r="P502" s="138"/>
    </row>
    <row r="503">
      <c r="A503" s="138"/>
      <c r="B503" s="138"/>
      <c r="C503" s="138"/>
      <c r="D503" s="138"/>
      <c r="E503" s="138"/>
      <c r="F503" s="138"/>
      <c r="G503" s="138"/>
      <c r="H503" s="138"/>
      <c r="I503" s="138"/>
      <c r="J503" s="138"/>
      <c r="K503" s="138"/>
      <c r="L503" s="138"/>
      <c r="M503" s="138"/>
      <c r="N503" s="138"/>
      <c r="O503" s="138"/>
      <c r="P503" s="138"/>
    </row>
    <row r="504">
      <c r="A504" s="138"/>
      <c r="B504" s="138"/>
      <c r="C504" s="138"/>
      <c r="D504" s="138"/>
      <c r="E504" s="138"/>
      <c r="F504" s="138"/>
      <c r="G504" s="138"/>
      <c r="H504" s="138"/>
      <c r="I504" s="138"/>
      <c r="J504" s="138"/>
      <c r="K504" s="138"/>
      <c r="L504" s="138"/>
      <c r="M504" s="138"/>
      <c r="N504" s="138"/>
      <c r="O504" s="138"/>
      <c r="P504" s="138"/>
    </row>
    <row r="505">
      <c r="A505" s="138"/>
      <c r="B505" s="138"/>
      <c r="C505" s="138"/>
      <c r="D505" s="138"/>
      <c r="E505" s="138"/>
      <c r="F505" s="138"/>
      <c r="G505" s="138"/>
      <c r="H505" s="138"/>
      <c r="I505" s="138"/>
      <c r="J505" s="138"/>
      <c r="K505" s="138"/>
      <c r="L505" s="138"/>
      <c r="M505" s="138"/>
      <c r="N505" s="138"/>
      <c r="O505" s="138"/>
      <c r="P505" s="138"/>
    </row>
    <row r="506">
      <c r="A506" s="138"/>
      <c r="B506" s="138"/>
      <c r="C506" s="138"/>
      <c r="D506" s="138"/>
      <c r="E506" s="138"/>
      <c r="F506" s="138"/>
      <c r="G506" s="138"/>
      <c r="H506" s="138"/>
      <c r="I506" s="138"/>
      <c r="J506" s="138"/>
      <c r="K506" s="138"/>
      <c r="L506" s="138"/>
      <c r="M506" s="138"/>
      <c r="N506" s="138"/>
      <c r="O506" s="138"/>
      <c r="P506" s="138"/>
    </row>
    <row r="507">
      <c r="A507" s="138"/>
      <c r="B507" s="138"/>
      <c r="C507" s="138"/>
      <c r="D507" s="138"/>
      <c r="E507" s="138"/>
      <c r="F507" s="138"/>
      <c r="G507" s="138"/>
      <c r="H507" s="138"/>
      <c r="I507" s="138"/>
      <c r="J507" s="138"/>
      <c r="K507" s="138"/>
      <c r="L507" s="138"/>
      <c r="M507" s="138"/>
      <c r="N507" s="138"/>
      <c r="O507" s="138"/>
      <c r="P507" s="138"/>
    </row>
    <row r="508">
      <c r="A508" s="138"/>
      <c r="B508" s="138"/>
      <c r="C508" s="138"/>
      <c r="D508" s="138"/>
      <c r="E508" s="138"/>
      <c r="F508" s="138"/>
      <c r="G508" s="138"/>
      <c r="H508" s="138"/>
      <c r="I508" s="138"/>
      <c r="J508" s="138"/>
      <c r="K508" s="138"/>
      <c r="L508" s="138"/>
      <c r="M508" s="138"/>
      <c r="N508" s="138"/>
      <c r="O508" s="138"/>
      <c r="P508" s="138"/>
    </row>
    <row r="509">
      <c r="A509" s="138"/>
      <c r="B509" s="138"/>
      <c r="C509" s="138"/>
      <c r="D509" s="138"/>
      <c r="E509" s="138"/>
      <c r="F509" s="138"/>
      <c r="G509" s="138"/>
      <c r="H509" s="138"/>
      <c r="I509" s="138"/>
      <c r="J509" s="138"/>
      <c r="K509" s="138"/>
      <c r="L509" s="138"/>
      <c r="M509" s="138"/>
      <c r="N509" s="138"/>
      <c r="O509" s="138"/>
      <c r="P509" s="138"/>
    </row>
    <row r="510">
      <c r="A510" s="138"/>
      <c r="B510" s="138"/>
      <c r="C510" s="138"/>
      <c r="D510" s="138"/>
      <c r="E510" s="138"/>
      <c r="F510" s="138"/>
      <c r="G510" s="138"/>
      <c r="H510" s="138"/>
      <c r="I510" s="138"/>
      <c r="J510" s="138"/>
      <c r="K510" s="138"/>
      <c r="L510" s="138"/>
      <c r="M510" s="138"/>
      <c r="N510" s="138"/>
      <c r="O510" s="138"/>
      <c r="P510" s="138"/>
    </row>
    <row r="511">
      <c r="A511" s="138"/>
      <c r="B511" s="138"/>
      <c r="C511" s="138"/>
      <c r="D511" s="138"/>
      <c r="E511" s="138"/>
      <c r="F511" s="138"/>
      <c r="G511" s="138"/>
      <c r="H511" s="138"/>
      <c r="I511" s="138"/>
      <c r="J511" s="138"/>
      <c r="K511" s="138"/>
      <c r="L511" s="138"/>
      <c r="M511" s="138"/>
      <c r="N511" s="138"/>
      <c r="O511" s="138"/>
      <c r="P511" s="138"/>
    </row>
    <row r="512">
      <c r="A512" s="138"/>
      <c r="B512" s="138"/>
      <c r="C512" s="138"/>
      <c r="D512" s="138"/>
      <c r="E512" s="138"/>
      <c r="F512" s="138"/>
      <c r="G512" s="138"/>
      <c r="H512" s="138"/>
      <c r="I512" s="138"/>
      <c r="J512" s="138"/>
      <c r="K512" s="138"/>
      <c r="L512" s="138"/>
      <c r="M512" s="138"/>
      <c r="N512" s="138"/>
      <c r="O512" s="138"/>
      <c r="P512" s="138"/>
    </row>
    <row r="513">
      <c r="A513" s="138"/>
      <c r="B513" s="138"/>
      <c r="C513" s="138"/>
      <c r="D513" s="138"/>
      <c r="E513" s="138"/>
      <c r="F513" s="138"/>
      <c r="G513" s="138"/>
      <c r="H513" s="138"/>
      <c r="I513" s="138"/>
      <c r="J513" s="138"/>
      <c r="K513" s="138"/>
      <c r="L513" s="138"/>
      <c r="M513" s="138"/>
      <c r="N513" s="138"/>
      <c r="O513" s="138"/>
      <c r="P513" s="138"/>
    </row>
    <row r="514">
      <c r="A514" s="138"/>
      <c r="B514" s="138"/>
      <c r="C514" s="138"/>
      <c r="D514" s="138"/>
      <c r="E514" s="138"/>
      <c r="F514" s="138"/>
      <c r="G514" s="138"/>
      <c r="H514" s="138"/>
      <c r="I514" s="138"/>
      <c r="J514" s="138"/>
      <c r="K514" s="138"/>
      <c r="L514" s="138"/>
      <c r="M514" s="138"/>
      <c r="N514" s="138"/>
      <c r="O514" s="138"/>
      <c r="P514" s="138"/>
    </row>
    <row r="515">
      <c r="A515" s="138"/>
      <c r="B515" s="138"/>
      <c r="C515" s="138"/>
      <c r="D515" s="138"/>
      <c r="E515" s="138"/>
      <c r="F515" s="138"/>
      <c r="G515" s="138"/>
      <c r="H515" s="138"/>
      <c r="I515" s="138"/>
      <c r="J515" s="138"/>
      <c r="K515" s="138"/>
      <c r="L515" s="138"/>
      <c r="M515" s="138"/>
      <c r="N515" s="138"/>
      <c r="O515" s="138"/>
      <c r="P515" s="138"/>
    </row>
    <row r="516">
      <c r="A516" s="138"/>
      <c r="B516" s="138"/>
      <c r="C516" s="138"/>
      <c r="D516" s="138"/>
      <c r="E516" s="138"/>
      <c r="F516" s="138"/>
      <c r="G516" s="138"/>
      <c r="H516" s="138"/>
      <c r="I516" s="138"/>
      <c r="J516" s="138"/>
      <c r="K516" s="138"/>
      <c r="L516" s="138"/>
      <c r="M516" s="138"/>
      <c r="N516" s="138"/>
      <c r="O516" s="138"/>
      <c r="P516" s="138"/>
    </row>
    <row r="517">
      <c r="A517" s="138"/>
      <c r="B517" s="138"/>
      <c r="C517" s="138"/>
      <c r="D517" s="138"/>
      <c r="E517" s="138"/>
      <c r="F517" s="138"/>
      <c r="G517" s="138"/>
      <c r="H517" s="138"/>
      <c r="I517" s="138"/>
      <c r="J517" s="138"/>
      <c r="K517" s="138"/>
      <c r="L517" s="138"/>
      <c r="M517" s="138"/>
      <c r="N517" s="138"/>
      <c r="O517" s="138"/>
      <c r="P517" s="138"/>
    </row>
    <row r="518">
      <c r="A518" s="138"/>
      <c r="B518" s="138"/>
      <c r="C518" s="138"/>
      <c r="D518" s="138"/>
      <c r="E518" s="138"/>
      <c r="F518" s="138"/>
      <c r="G518" s="138"/>
      <c r="H518" s="138"/>
      <c r="I518" s="138"/>
      <c r="J518" s="138"/>
      <c r="K518" s="138"/>
      <c r="L518" s="138"/>
      <c r="M518" s="138"/>
      <c r="N518" s="138"/>
      <c r="O518" s="138"/>
      <c r="P518" s="138"/>
    </row>
    <row r="519">
      <c r="A519" s="138"/>
      <c r="B519" s="138"/>
      <c r="C519" s="138"/>
      <c r="D519" s="138"/>
      <c r="E519" s="138"/>
      <c r="F519" s="138"/>
      <c r="G519" s="138"/>
      <c r="H519" s="138"/>
      <c r="I519" s="138"/>
      <c r="J519" s="138"/>
      <c r="K519" s="138"/>
      <c r="L519" s="138"/>
      <c r="M519" s="138"/>
      <c r="N519" s="138"/>
      <c r="O519" s="138"/>
      <c r="P519" s="138"/>
    </row>
    <row r="520">
      <c r="A520" s="138"/>
      <c r="B520" s="138"/>
      <c r="C520" s="138"/>
      <c r="D520" s="138"/>
      <c r="E520" s="138"/>
      <c r="F520" s="138"/>
      <c r="G520" s="138"/>
      <c r="H520" s="138"/>
      <c r="I520" s="138"/>
      <c r="J520" s="138"/>
      <c r="K520" s="138"/>
      <c r="L520" s="138"/>
      <c r="M520" s="138"/>
      <c r="N520" s="138"/>
      <c r="O520" s="138"/>
      <c r="P520" s="138"/>
    </row>
    <row r="521">
      <c r="A521" s="138"/>
      <c r="B521" s="138"/>
      <c r="C521" s="138"/>
      <c r="D521" s="138"/>
      <c r="E521" s="138"/>
      <c r="F521" s="138"/>
      <c r="G521" s="138"/>
      <c r="H521" s="138"/>
      <c r="I521" s="138"/>
      <c r="J521" s="138"/>
      <c r="K521" s="138"/>
      <c r="L521" s="138"/>
      <c r="M521" s="138"/>
      <c r="N521" s="138"/>
      <c r="O521" s="138"/>
      <c r="P521" s="138"/>
    </row>
    <row r="522">
      <c r="A522" s="138"/>
      <c r="B522" s="138"/>
      <c r="C522" s="138"/>
      <c r="D522" s="138"/>
      <c r="E522" s="138"/>
      <c r="F522" s="138"/>
      <c r="G522" s="138"/>
      <c r="H522" s="138"/>
      <c r="I522" s="138"/>
      <c r="J522" s="138"/>
      <c r="K522" s="138"/>
      <c r="L522" s="138"/>
      <c r="M522" s="138"/>
      <c r="N522" s="138"/>
      <c r="O522" s="138"/>
      <c r="P522" s="138"/>
    </row>
    <row r="523">
      <c r="A523" s="138"/>
      <c r="B523" s="138"/>
      <c r="C523" s="138"/>
      <c r="D523" s="138"/>
      <c r="E523" s="138"/>
      <c r="F523" s="138"/>
      <c r="G523" s="138"/>
      <c r="H523" s="138"/>
      <c r="I523" s="138"/>
      <c r="J523" s="138"/>
      <c r="K523" s="138"/>
      <c r="L523" s="138"/>
      <c r="M523" s="138"/>
      <c r="N523" s="138"/>
      <c r="O523" s="138"/>
      <c r="P523" s="138"/>
    </row>
    <row r="524">
      <c r="A524" s="138"/>
      <c r="B524" s="138"/>
      <c r="C524" s="138"/>
      <c r="D524" s="138"/>
      <c r="E524" s="138"/>
      <c r="F524" s="138"/>
      <c r="G524" s="138"/>
      <c r="H524" s="138"/>
      <c r="I524" s="138"/>
      <c r="J524" s="138"/>
      <c r="K524" s="138"/>
      <c r="L524" s="138"/>
      <c r="M524" s="138"/>
      <c r="N524" s="138"/>
      <c r="O524" s="138"/>
      <c r="P524" s="138"/>
    </row>
    <row r="525">
      <c r="A525" s="138"/>
      <c r="B525" s="138"/>
      <c r="C525" s="138"/>
      <c r="D525" s="138"/>
      <c r="E525" s="138"/>
      <c r="F525" s="138"/>
      <c r="G525" s="138"/>
      <c r="H525" s="138"/>
      <c r="I525" s="138"/>
      <c r="J525" s="138"/>
      <c r="K525" s="138"/>
      <c r="L525" s="138"/>
      <c r="M525" s="138"/>
      <c r="N525" s="138"/>
      <c r="O525" s="138"/>
      <c r="P525" s="138"/>
    </row>
    <row r="526">
      <c r="A526" s="138"/>
      <c r="B526" s="138"/>
      <c r="C526" s="138"/>
      <c r="D526" s="138"/>
      <c r="E526" s="138"/>
      <c r="F526" s="138"/>
      <c r="G526" s="138"/>
      <c r="H526" s="138"/>
      <c r="I526" s="138"/>
      <c r="J526" s="138"/>
      <c r="K526" s="138"/>
      <c r="L526" s="138"/>
      <c r="M526" s="138"/>
      <c r="N526" s="138"/>
      <c r="O526" s="138"/>
      <c r="P526" s="138"/>
    </row>
    <row r="527">
      <c r="A527" s="138"/>
      <c r="B527" s="138"/>
      <c r="C527" s="138"/>
      <c r="D527" s="138"/>
      <c r="E527" s="138"/>
      <c r="F527" s="138"/>
      <c r="G527" s="138"/>
      <c r="H527" s="138"/>
      <c r="I527" s="138"/>
      <c r="J527" s="138"/>
      <c r="K527" s="138"/>
      <c r="L527" s="138"/>
      <c r="M527" s="138"/>
      <c r="N527" s="138"/>
      <c r="O527" s="138"/>
      <c r="P527" s="138"/>
    </row>
    <row r="528">
      <c r="A528" s="138"/>
      <c r="B528" s="138"/>
      <c r="C528" s="138"/>
      <c r="D528" s="138"/>
      <c r="E528" s="138"/>
      <c r="F528" s="138"/>
      <c r="G528" s="138"/>
      <c r="H528" s="138"/>
      <c r="I528" s="138"/>
      <c r="J528" s="138"/>
      <c r="K528" s="138"/>
      <c r="L528" s="138"/>
      <c r="M528" s="138"/>
      <c r="N528" s="138"/>
      <c r="O528" s="138"/>
      <c r="P528" s="138"/>
    </row>
    <row r="529">
      <c r="A529" s="138"/>
      <c r="B529" s="138"/>
      <c r="C529" s="138"/>
      <c r="D529" s="138"/>
      <c r="E529" s="138"/>
      <c r="F529" s="138"/>
      <c r="G529" s="138"/>
      <c r="H529" s="138"/>
      <c r="I529" s="138"/>
      <c r="J529" s="138"/>
      <c r="K529" s="138"/>
      <c r="L529" s="138"/>
      <c r="M529" s="138"/>
      <c r="N529" s="138"/>
      <c r="O529" s="138"/>
      <c r="P529" s="138"/>
    </row>
    <row r="530">
      <c r="A530" s="138"/>
      <c r="B530" s="138"/>
      <c r="C530" s="138"/>
      <c r="D530" s="138"/>
      <c r="E530" s="138"/>
      <c r="F530" s="138"/>
      <c r="G530" s="138"/>
      <c r="H530" s="138"/>
      <c r="I530" s="138"/>
      <c r="J530" s="138"/>
      <c r="K530" s="138"/>
      <c r="L530" s="138"/>
      <c r="M530" s="138"/>
      <c r="N530" s="138"/>
      <c r="O530" s="138"/>
      <c r="P530" s="138"/>
    </row>
    <row r="531">
      <c r="A531" s="138"/>
      <c r="B531" s="138"/>
      <c r="C531" s="138"/>
      <c r="D531" s="138"/>
      <c r="E531" s="138"/>
      <c r="F531" s="138"/>
      <c r="G531" s="138"/>
      <c r="H531" s="138"/>
      <c r="I531" s="138"/>
      <c r="J531" s="138"/>
      <c r="K531" s="138"/>
      <c r="L531" s="138"/>
      <c r="M531" s="138"/>
      <c r="N531" s="138"/>
      <c r="O531" s="138"/>
      <c r="P531" s="138"/>
    </row>
    <row r="532">
      <c r="A532" s="138"/>
      <c r="B532" s="138"/>
      <c r="C532" s="138"/>
      <c r="D532" s="138"/>
      <c r="E532" s="138"/>
      <c r="F532" s="138"/>
      <c r="G532" s="138"/>
      <c r="H532" s="138"/>
      <c r="I532" s="138"/>
      <c r="J532" s="138"/>
      <c r="K532" s="138"/>
      <c r="L532" s="138"/>
      <c r="M532" s="138"/>
      <c r="N532" s="138"/>
      <c r="O532" s="138"/>
      <c r="P532" s="138"/>
    </row>
    <row r="533">
      <c r="A533" s="138"/>
      <c r="B533" s="138"/>
      <c r="C533" s="138"/>
      <c r="D533" s="138"/>
      <c r="E533" s="138"/>
      <c r="F533" s="138"/>
      <c r="G533" s="138"/>
      <c r="H533" s="138"/>
      <c r="I533" s="138"/>
      <c r="J533" s="138"/>
      <c r="K533" s="138"/>
      <c r="L533" s="138"/>
      <c r="M533" s="138"/>
      <c r="N533" s="138"/>
      <c r="O533" s="138"/>
      <c r="P533" s="138"/>
    </row>
    <row r="534">
      <c r="A534" s="138"/>
      <c r="B534" s="138"/>
      <c r="C534" s="138"/>
      <c r="D534" s="138"/>
      <c r="E534" s="138"/>
      <c r="F534" s="138"/>
      <c r="G534" s="138"/>
      <c r="H534" s="138"/>
      <c r="I534" s="138"/>
      <c r="J534" s="138"/>
      <c r="K534" s="138"/>
      <c r="L534" s="138"/>
      <c r="M534" s="138"/>
      <c r="N534" s="138"/>
      <c r="O534" s="138"/>
      <c r="P534" s="138"/>
    </row>
    <row r="535">
      <c r="A535" s="138"/>
      <c r="B535" s="138"/>
      <c r="C535" s="138"/>
      <c r="D535" s="138"/>
      <c r="E535" s="138"/>
      <c r="F535" s="138"/>
      <c r="G535" s="138"/>
      <c r="H535" s="138"/>
      <c r="I535" s="138"/>
      <c r="J535" s="138"/>
      <c r="K535" s="138"/>
      <c r="L535" s="138"/>
      <c r="M535" s="138"/>
      <c r="N535" s="138"/>
      <c r="O535" s="138"/>
      <c r="P535" s="138"/>
    </row>
    <row r="536">
      <c r="A536" s="138"/>
      <c r="B536" s="138"/>
      <c r="C536" s="138"/>
      <c r="D536" s="138"/>
      <c r="E536" s="138"/>
      <c r="F536" s="138"/>
      <c r="G536" s="138"/>
      <c r="H536" s="138"/>
      <c r="I536" s="138"/>
      <c r="J536" s="138"/>
      <c r="K536" s="138"/>
      <c r="L536" s="138"/>
      <c r="M536" s="138"/>
      <c r="N536" s="138"/>
      <c r="O536" s="138"/>
      <c r="P536" s="138"/>
    </row>
    <row r="537">
      <c r="A537" s="138"/>
      <c r="B537" s="138"/>
      <c r="C537" s="138"/>
      <c r="D537" s="138"/>
      <c r="E537" s="138"/>
      <c r="F537" s="138"/>
      <c r="G537" s="138"/>
      <c r="H537" s="138"/>
      <c r="I537" s="138"/>
      <c r="J537" s="138"/>
      <c r="K537" s="138"/>
      <c r="L537" s="138"/>
      <c r="M537" s="138"/>
      <c r="N537" s="138"/>
      <c r="O537" s="138"/>
      <c r="P537" s="138"/>
    </row>
    <row r="538">
      <c r="A538" s="138"/>
      <c r="B538" s="138"/>
      <c r="C538" s="138"/>
      <c r="D538" s="138"/>
      <c r="E538" s="138"/>
      <c r="F538" s="138"/>
      <c r="G538" s="138"/>
      <c r="H538" s="138"/>
      <c r="I538" s="138"/>
      <c r="J538" s="138"/>
      <c r="K538" s="138"/>
      <c r="L538" s="138"/>
      <c r="M538" s="138"/>
      <c r="N538" s="138"/>
      <c r="O538" s="138"/>
      <c r="P538" s="138"/>
    </row>
    <row r="539">
      <c r="A539" s="138"/>
      <c r="B539" s="138"/>
      <c r="C539" s="138"/>
      <c r="D539" s="138"/>
      <c r="E539" s="138"/>
      <c r="F539" s="138"/>
      <c r="G539" s="138"/>
      <c r="H539" s="138"/>
      <c r="I539" s="138"/>
      <c r="J539" s="138"/>
      <c r="K539" s="138"/>
      <c r="L539" s="138"/>
      <c r="M539" s="138"/>
      <c r="N539" s="138"/>
      <c r="O539" s="138"/>
      <c r="P539" s="138"/>
    </row>
    <row r="540">
      <c r="A540" s="138"/>
      <c r="B540" s="138"/>
      <c r="C540" s="138"/>
      <c r="D540" s="138"/>
      <c r="E540" s="138"/>
      <c r="F540" s="138"/>
      <c r="G540" s="138"/>
      <c r="H540" s="138"/>
      <c r="I540" s="138"/>
      <c r="J540" s="138"/>
      <c r="K540" s="138"/>
      <c r="L540" s="138"/>
      <c r="M540" s="138"/>
      <c r="N540" s="138"/>
      <c r="O540" s="138"/>
      <c r="P540" s="138"/>
    </row>
    <row r="541">
      <c r="A541" s="138"/>
      <c r="B541" s="138"/>
      <c r="C541" s="138"/>
      <c r="D541" s="138"/>
      <c r="E541" s="138"/>
      <c r="F541" s="138"/>
      <c r="G541" s="138"/>
      <c r="H541" s="138"/>
      <c r="I541" s="138"/>
      <c r="J541" s="138"/>
      <c r="K541" s="138"/>
      <c r="L541" s="138"/>
      <c r="M541" s="138"/>
      <c r="N541" s="138"/>
      <c r="O541" s="138"/>
      <c r="P541" s="138"/>
    </row>
    <row r="542">
      <c r="A542" s="138"/>
      <c r="B542" s="138"/>
      <c r="C542" s="138"/>
      <c r="D542" s="138"/>
      <c r="E542" s="138"/>
      <c r="F542" s="138"/>
      <c r="G542" s="138"/>
      <c r="H542" s="138"/>
      <c r="I542" s="138"/>
      <c r="J542" s="138"/>
      <c r="K542" s="138"/>
      <c r="L542" s="138"/>
      <c r="M542" s="138"/>
      <c r="N542" s="138"/>
      <c r="O542" s="138"/>
      <c r="P542" s="138"/>
    </row>
    <row r="543">
      <c r="A543" s="138"/>
      <c r="B543" s="138"/>
      <c r="C543" s="138"/>
      <c r="D543" s="138"/>
      <c r="E543" s="138"/>
      <c r="F543" s="138"/>
      <c r="G543" s="138"/>
      <c r="H543" s="138"/>
      <c r="I543" s="138"/>
      <c r="J543" s="138"/>
      <c r="K543" s="138"/>
      <c r="L543" s="138"/>
      <c r="M543" s="138"/>
      <c r="N543" s="138"/>
      <c r="O543" s="138"/>
      <c r="P543" s="138"/>
    </row>
    <row r="544">
      <c r="A544" s="138"/>
      <c r="B544" s="138"/>
      <c r="C544" s="138"/>
      <c r="D544" s="138"/>
      <c r="E544" s="138"/>
      <c r="F544" s="138"/>
      <c r="G544" s="138"/>
      <c r="H544" s="138"/>
      <c r="I544" s="138"/>
      <c r="J544" s="138"/>
      <c r="K544" s="138"/>
      <c r="L544" s="138"/>
      <c r="M544" s="138"/>
      <c r="N544" s="138"/>
      <c r="O544" s="138"/>
      <c r="P544" s="138"/>
    </row>
    <row r="545">
      <c r="A545" s="138"/>
      <c r="B545" s="138"/>
      <c r="C545" s="138"/>
      <c r="D545" s="138"/>
      <c r="E545" s="138"/>
      <c r="F545" s="138"/>
      <c r="G545" s="138"/>
      <c r="H545" s="138"/>
      <c r="I545" s="138"/>
      <c r="J545" s="138"/>
      <c r="K545" s="138"/>
      <c r="L545" s="138"/>
      <c r="M545" s="138"/>
      <c r="N545" s="138"/>
      <c r="O545" s="138"/>
      <c r="P545" s="138"/>
    </row>
    <row r="546">
      <c r="A546" s="138"/>
      <c r="B546" s="138"/>
      <c r="C546" s="138"/>
      <c r="D546" s="138"/>
      <c r="E546" s="138"/>
      <c r="F546" s="138"/>
      <c r="G546" s="138"/>
      <c r="H546" s="138"/>
      <c r="I546" s="138"/>
      <c r="J546" s="138"/>
      <c r="K546" s="138"/>
      <c r="L546" s="138"/>
      <c r="M546" s="138"/>
      <c r="N546" s="138"/>
      <c r="O546" s="138"/>
      <c r="P546" s="138"/>
    </row>
    <row r="547">
      <c r="A547" s="138"/>
      <c r="B547" s="138"/>
      <c r="C547" s="138"/>
      <c r="D547" s="138"/>
      <c r="E547" s="138"/>
      <c r="F547" s="138"/>
      <c r="G547" s="138"/>
      <c r="H547" s="138"/>
      <c r="I547" s="138"/>
      <c r="J547" s="138"/>
      <c r="K547" s="138"/>
      <c r="L547" s="138"/>
      <c r="M547" s="138"/>
      <c r="N547" s="138"/>
      <c r="O547" s="138"/>
      <c r="P547" s="138"/>
    </row>
    <row r="548">
      <c r="A548" s="138"/>
      <c r="B548" s="138"/>
      <c r="C548" s="138"/>
      <c r="D548" s="138"/>
      <c r="E548" s="138"/>
      <c r="F548" s="138"/>
      <c r="G548" s="138"/>
      <c r="H548" s="138"/>
      <c r="I548" s="138"/>
      <c r="J548" s="138"/>
      <c r="K548" s="138"/>
      <c r="L548" s="138"/>
      <c r="M548" s="138"/>
      <c r="N548" s="138"/>
      <c r="O548" s="138"/>
      <c r="P548" s="138"/>
    </row>
    <row r="549">
      <c r="A549" s="138"/>
      <c r="B549" s="138"/>
      <c r="C549" s="138"/>
      <c r="D549" s="138"/>
      <c r="E549" s="138"/>
      <c r="F549" s="138"/>
      <c r="G549" s="138"/>
      <c r="H549" s="138"/>
      <c r="I549" s="138"/>
      <c r="J549" s="138"/>
      <c r="K549" s="138"/>
      <c r="L549" s="138"/>
      <c r="M549" s="138"/>
      <c r="N549" s="138"/>
      <c r="O549" s="138"/>
      <c r="P549" s="138"/>
    </row>
    <row r="550">
      <c r="A550" s="138"/>
      <c r="B550" s="138"/>
      <c r="C550" s="138"/>
      <c r="D550" s="138"/>
      <c r="E550" s="138"/>
      <c r="F550" s="138"/>
      <c r="G550" s="138"/>
      <c r="H550" s="138"/>
      <c r="I550" s="138"/>
      <c r="J550" s="138"/>
      <c r="K550" s="138"/>
      <c r="L550" s="138"/>
      <c r="M550" s="138"/>
      <c r="N550" s="138"/>
      <c r="O550" s="138"/>
      <c r="P550" s="138"/>
    </row>
    <row r="551">
      <c r="A551" s="138"/>
      <c r="B551" s="138"/>
      <c r="C551" s="138"/>
      <c r="D551" s="138"/>
      <c r="E551" s="138"/>
      <c r="F551" s="138"/>
      <c r="G551" s="138"/>
      <c r="H551" s="138"/>
      <c r="I551" s="138"/>
      <c r="J551" s="138"/>
      <c r="K551" s="138"/>
      <c r="L551" s="138"/>
      <c r="M551" s="138"/>
      <c r="N551" s="138"/>
      <c r="O551" s="138"/>
      <c r="P551" s="138"/>
    </row>
    <row r="552">
      <c r="A552" s="138"/>
      <c r="B552" s="138"/>
      <c r="C552" s="138"/>
      <c r="D552" s="138"/>
      <c r="E552" s="138"/>
      <c r="F552" s="138"/>
      <c r="G552" s="138"/>
      <c r="H552" s="138"/>
      <c r="I552" s="138"/>
      <c r="J552" s="138"/>
      <c r="K552" s="138"/>
      <c r="L552" s="138"/>
      <c r="M552" s="138"/>
      <c r="N552" s="138"/>
      <c r="O552" s="138"/>
      <c r="P552" s="138"/>
    </row>
    <row r="553">
      <c r="A553" s="138"/>
      <c r="B553" s="138"/>
      <c r="C553" s="138"/>
      <c r="D553" s="138"/>
      <c r="E553" s="138"/>
      <c r="F553" s="138"/>
      <c r="G553" s="138"/>
      <c r="H553" s="138"/>
      <c r="I553" s="138"/>
      <c r="J553" s="138"/>
      <c r="K553" s="138"/>
      <c r="L553" s="138"/>
      <c r="M553" s="138"/>
      <c r="N553" s="138"/>
      <c r="O553" s="138"/>
      <c r="P553" s="138"/>
    </row>
    <row r="554">
      <c r="A554" s="138"/>
      <c r="B554" s="138"/>
      <c r="C554" s="138"/>
      <c r="D554" s="138"/>
      <c r="E554" s="138"/>
      <c r="F554" s="138"/>
      <c r="G554" s="138"/>
      <c r="H554" s="138"/>
      <c r="I554" s="138"/>
      <c r="J554" s="138"/>
      <c r="K554" s="138"/>
      <c r="L554" s="138"/>
      <c r="M554" s="138"/>
      <c r="N554" s="138"/>
      <c r="O554" s="138"/>
      <c r="P554" s="138"/>
    </row>
    <row r="555">
      <c r="A555" s="138"/>
      <c r="B555" s="138"/>
      <c r="C555" s="138"/>
      <c r="D555" s="138"/>
      <c r="E555" s="138"/>
      <c r="F555" s="138"/>
      <c r="G555" s="138"/>
      <c r="H555" s="138"/>
      <c r="I555" s="138"/>
      <c r="J555" s="138"/>
      <c r="K555" s="138"/>
      <c r="L555" s="138"/>
      <c r="M555" s="138"/>
      <c r="N555" s="138"/>
      <c r="O555" s="138"/>
      <c r="P555" s="138"/>
    </row>
    <row r="556">
      <c r="A556" s="138"/>
      <c r="B556" s="138"/>
      <c r="C556" s="138"/>
      <c r="D556" s="138"/>
      <c r="E556" s="138"/>
      <c r="F556" s="138"/>
      <c r="G556" s="138"/>
      <c r="H556" s="138"/>
      <c r="I556" s="138"/>
      <c r="J556" s="138"/>
      <c r="K556" s="138"/>
      <c r="L556" s="138"/>
      <c r="M556" s="138"/>
      <c r="N556" s="138"/>
      <c r="O556" s="138"/>
      <c r="P556" s="138"/>
    </row>
    <row r="557">
      <c r="A557" s="138"/>
      <c r="B557" s="138"/>
      <c r="C557" s="138"/>
      <c r="D557" s="138"/>
      <c r="E557" s="138"/>
      <c r="F557" s="138"/>
      <c r="G557" s="138"/>
      <c r="H557" s="138"/>
      <c r="I557" s="138"/>
      <c r="J557" s="138"/>
      <c r="K557" s="138"/>
      <c r="L557" s="138"/>
      <c r="M557" s="138"/>
      <c r="N557" s="138"/>
      <c r="O557" s="138"/>
      <c r="P557" s="138"/>
    </row>
    <row r="558">
      <c r="A558" s="138"/>
      <c r="B558" s="138"/>
      <c r="C558" s="138"/>
      <c r="D558" s="138"/>
      <c r="E558" s="138"/>
      <c r="F558" s="138"/>
      <c r="G558" s="138"/>
      <c r="H558" s="138"/>
      <c r="I558" s="138"/>
      <c r="J558" s="138"/>
      <c r="K558" s="138"/>
      <c r="L558" s="138"/>
      <c r="M558" s="138"/>
      <c r="N558" s="138"/>
      <c r="O558" s="138"/>
      <c r="P558" s="138"/>
    </row>
    <row r="559">
      <c r="A559" s="138"/>
      <c r="B559" s="138"/>
      <c r="C559" s="138"/>
      <c r="D559" s="138"/>
      <c r="E559" s="138"/>
      <c r="F559" s="138"/>
      <c r="G559" s="138"/>
      <c r="H559" s="138"/>
      <c r="I559" s="138"/>
      <c r="J559" s="138"/>
      <c r="K559" s="138"/>
      <c r="L559" s="138"/>
      <c r="M559" s="138"/>
      <c r="N559" s="138"/>
      <c r="O559" s="138"/>
      <c r="P559" s="138"/>
    </row>
    <row r="560">
      <c r="A560" s="138"/>
      <c r="B560" s="138"/>
      <c r="C560" s="138"/>
      <c r="D560" s="138"/>
      <c r="E560" s="138"/>
      <c r="F560" s="138"/>
      <c r="G560" s="138"/>
      <c r="H560" s="138"/>
      <c r="I560" s="138"/>
      <c r="J560" s="138"/>
      <c r="K560" s="138"/>
      <c r="L560" s="138"/>
      <c r="M560" s="138"/>
      <c r="N560" s="138"/>
      <c r="O560" s="138"/>
      <c r="P560" s="138"/>
    </row>
    <row r="561">
      <c r="A561" s="138"/>
      <c r="B561" s="138"/>
      <c r="C561" s="138"/>
      <c r="D561" s="138"/>
      <c r="E561" s="138"/>
      <c r="F561" s="138"/>
      <c r="G561" s="138"/>
      <c r="H561" s="138"/>
      <c r="I561" s="138"/>
      <c r="J561" s="138"/>
      <c r="K561" s="138"/>
      <c r="L561" s="138"/>
      <c r="M561" s="138"/>
      <c r="N561" s="138"/>
      <c r="O561" s="138"/>
      <c r="P561" s="138"/>
    </row>
    <row r="562">
      <c r="A562" s="138"/>
      <c r="B562" s="138"/>
      <c r="C562" s="138"/>
      <c r="D562" s="138"/>
      <c r="E562" s="138"/>
      <c r="F562" s="138"/>
      <c r="G562" s="138"/>
      <c r="H562" s="138"/>
      <c r="I562" s="138"/>
      <c r="J562" s="138"/>
      <c r="K562" s="138"/>
      <c r="L562" s="138"/>
      <c r="M562" s="138"/>
      <c r="N562" s="138"/>
      <c r="O562" s="138"/>
      <c r="P562" s="138"/>
    </row>
    <row r="563">
      <c r="A563" s="138"/>
      <c r="B563" s="138"/>
      <c r="C563" s="138"/>
      <c r="D563" s="138"/>
      <c r="E563" s="138"/>
      <c r="F563" s="138"/>
      <c r="G563" s="138"/>
      <c r="H563" s="138"/>
      <c r="I563" s="138"/>
      <c r="J563" s="138"/>
      <c r="K563" s="138"/>
      <c r="L563" s="138"/>
      <c r="M563" s="138"/>
      <c r="N563" s="138"/>
      <c r="O563" s="138"/>
      <c r="P563" s="138"/>
    </row>
    <row r="564">
      <c r="A564" s="138"/>
      <c r="B564" s="138"/>
      <c r="C564" s="138"/>
      <c r="D564" s="138"/>
      <c r="E564" s="138"/>
      <c r="F564" s="138"/>
      <c r="G564" s="138"/>
      <c r="H564" s="138"/>
      <c r="I564" s="138"/>
      <c r="J564" s="138"/>
      <c r="K564" s="138"/>
      <c r="L564" s="138"/>
      <c r="M564" s="138"/>
      <c r="N564" s="138"/>
      <c r="O564" s="138"/>
      <c r="P564" s="138"/>
    </row>
    <row r="565">
      <c r="A565" s="138"/>
      <c r="B565" s="138"/>
      <c r="C565" s="138"/>
      <c r="D565" s="138"/>
      <c r="E565" s="138"/>
      <c r="F565" s="138"/>
      <c r="G565" s="138"/>
      <c r="H565" s="138"/>
      <c r="I565" s="138"/>
      <c r="J565" s="138"/>
      <c r="K565" s="138"/>
      <c r="L565" s="138"/>
      <c r="M565" s="138"/>
      <c r="N565" s="138"/>
      <c r="O565" s="138"/>
      <c r="P565" s="138"/>
    </row>
    <row r="566">
      <c r="A566" s="138"/>
      <c r="B566" s="138"/>
      <c r="C566" s="138"/>
      <c r="D566" s="138"/>
      <c r="E566" s="138"/>
      <c r="F566" s="138"/>
      <c r="G566" s="138"/>
      <c r="H566" s="138"/>
      <c r="I566" s="138"/>
      <c r="J566" s="138"/>
      <c r="K566" s="138"/>
      <c r="L566" s="138"/>
      <c r="M566" s="138"/>
      <c r="N566" s="138"/>
      <c r="O566" s="138"/>
      <c r="P566" s="138"/>
    </row>
    <row r="567">
      <c r="A567" s="138"/>
      <c r="B567" s="138"/>
      <c r="C567" s="138"/>
      <c r="D567" s="138"/>
      <c r="E567" s="138"/>
      <c r="F567" s="138"/>
      <c r="G567" s="138"/>
      <c r="H567" s="138"/>
      <c r="I567" s="138"/>
      <c r="J567" s="138"/>
      <c r="K567" s="138"/>
      <c r="L567" s="138"/>
      <c r="M567" s="138"/>
      <c r="N567" s="138"/>
      <c r="O567" s="138"/>
      <c r="P567" s="138"/>
    </row>
    <row r="568">
      <c r="A568" s="138"/>
      <c r="B568" s="138"/>
      <c r="C568" s="138"/>
      <c r="D568" s="138"/>
      <c r="E568" s="138"/>
      <c r="F568" s="138"/>
      <c r="G568" s="138"/>
      <c r="H568" s="138"/>
      <c r="I568" s="138"/>
      <c r="J568" s="138"/>
      <c r="K568" s="138"/>
      <c r="L568" s="138"/>
      <c r="M568" s="138"/>
      <c r="N568" s="138"/>
      <c r="O568" s="138"/>
      <c r="P568" s="138"/>
    </row>
    <row r="569">
      <c r="A569" s="138"/>
      <c r="B569" s="138"/>
      <c r="C569" s="138"/>
      <c r="D569" s="138"/>
      <c r="E569" s="138"/>
      <c r="F569" s="138"/>
      <c r="G569" s="138"/>
      <c r="H569" s="138"/>
      <c r="I569" s="138"/>
      <c r="J569" s="138"/>
      <c r="K569" s="138"/>
      <c r="L569" s="138"/>
      <c r="M569" s="138"/>
      <c r="N569" s="138"/>
      <c r="O569" s="138"/>
      <c r="P569" s="138"/>
    </row>
    <row r="570">
      <c r="A570" s="138"/>
      <c r="B570" s="138"/>
      <c r="C570" s="138"/>
      <c r="D570" s="138"/>
      <c r="E570" s="138"/>
      <c r="F570" s="138"/>
      <c r="G570" s="138"/>
      <c r="H570" s="138"/>
      <c r="I570" s="138"/>
      <c r="J570" s="138"/>
      <c r="K570" s="138"/>
      <c r="L570" s="138"/>
      <c r="M570" s="138"/>
      <c r="N570" s="138"/>
      <c r="O570" s="138"/>
      <c r="P570" s="138"/>
    </row>
    <row r="571">
      <c r="A571" s="138"/>
      <c r="B571" s="138"/>
      <c r="C571" s="138"/>
      <c r="D571" s="138"/>
      <c r="E571" s="138"/>
      <c r="F571" s="138"/>
      <c r="G571" s="138"/>
      <c r="H571" s="138"/>
      <c r="I571" s="138"/>
      <c r="J571" s="138"/>
      <c r="K571" s="138"/>
      <c r="L571" s="138"/>
      <c r="M571" s="138"/>
      <c r="N571" s="138"/>
      <c r="O571" s="138"/>
      <c r="P571" s="138"/>
    </row>
    <row r="572">
      <c r="A572" s="138"/>
      <c r="B572" s="138"/>
      <c r="C572" s="138"/>
      <c r="D572" s="138"/>
      <c r="E572" s="138"/>
      <c r="F572" s="138"/>
      <c r="G572" s="138"/>
      <c r="H572" s="138"/>
      <c r="I572" s="138"/>
      <c r="J572" s="138"/>
      <c r="K572" s="138"/>
      <c r="L572" s="138"/>
      <c r="M572" s="138"/>
      <c r="N572" s="138"/>
      <c r="O572" s="138"/>
      <c r="P572" s="138"/>
    </row>
    <row r="573">
      <c r="A573" s="138"/>
      <c r="B573" s="138"/>
      <c r="C573" s="138"/>
      <c r="D573" s="138"/>
      <c r="E573" s="138"/>
      <c r="F573" s="138"/>
      <c r="G573" s="138"/>
      <c r="H573" s="138"/>
      <c r="I573" s="138"/>
      <c r="J573" s="138"/>
      <c r="K573" s="138"/>
      <c r="L573" s="138"/>
      <c r="M573" s="138"/>
      <c r="N573" s="138"/>
      <c r="O573" s="138"/>
      <c r="P573" s="138"/>
    </row>
    <row r="574">
      <c r="A574" s="138"/>
      <c r="B574" s="138"/>
      <c r="C574" s="138"/>
      <c r="D574" s="138"/>
      <c r="E574" s="138"/>
      <c r="F574" s="138"/>
      <c r="G574" s="138"/>
      <c r="H574" s="138"/>
      <c r="I574" s="138"/>
      <c r="J574" s="138"/>
      <c r="K574" s="138"/>
      <c r="L574" s="138"/>
      <c r="M574" s="138"/>
      <c r="N574" s="138"/>
      <c r="O574" s="138"/>
      <c r="P574" s="138"/>
    </row>
    <row r="575">
      <c r="A575" s="138"/>
      <c r="B575" s="138"/>
      <c r="C575" s="138"/>
      <c r="D575" s="138"/>
      <c r="E575" s="138"/>
      <c r="F575" s="138"/>
      <c r="G575" s="138"/>
      <c r="H575" s="138"/>
      <c r="I575" s="138"/>
      <c r="J575" s="138"/>
      <c r="K575" s="138"/>
      <c r="L575" s="138"/>
      <c r="M575" s="138"/>
      <c r="N575" s="138"/>
      <c r="O575" s="138"/>
      <c r="P575" s="138"/>
    </row>
    <row r="576">
      <c r="A576" s="138"/>
      <c r="B576" s="138"/>
      <c r="C576" s="138"/>
      <c r="D576" s="138"/>
      <c r="E576" s="138"/>
      <c r="F576" s="138"/>
      <c r="G576" s="138"/>
      <c r="H576" s="138"/>
      <c r="I576" s="138"/>
      <c r="J576" s="138"/>
      <c r="K576" s="138"/>
      <c r="L576" s="138"/>
      <c r="M576" s="138"/>
      <c r="N576" s="138"/>
      <c r="O576" s="138"/>
      <c r="P576" s="138"/>
    </row>
    <row r="577">
      <c r="A577" s="138"/>
      <c r="B577" s="138"/>
      <c r="C577" s="138"/>
      <c r="D577" s="138"/>
      <c r="E577" s="138"/>
      <c r="F577" s="138"/>
      <c r="G577" s="138"/>
      <c r="H577" s="138"/>
      <c r="I577" s="138"/>
      <c r="J577" s="138"/>
      <c r="K577" s="138"/>
      <c r="L577" s="138"/>
      <c r="M577" s="138"/>
      <c r="N577" s="138"/>
      <c r="O577" s="138"/>
      <c r="P577" s="138"/>
    </row>
    <row r="578">
      <c r="A578" s="138"/>
      <c r="B578" s="138"/>
      <c r="C578" s="138"/>
      <c r="D578" s="138"/>
      <c r="E578" s="138"/>
      <c r="F578" s="138"/>
      <c r="G578" s="138"/>
      <c r="H578" s="138"/>
      <c r="I578" s="138"/>
      <c r="J578" s="138"/>
      <c r="K578" s="138"/>
      <c r="L578" s="138"/>
      <c r="M578" s="138"/>
      <c r="N578" s="138"/>
      <c r="O578" s="138"/>
      <c r="P578" s="138"/>
    </row>
    <row r="579">
      <c r="A579" s="138"/>
      <c r="B579" s="138"/>
      <c r="C579" s="138"/>
      <c r="D579" s="138"/>
      <c r="E579" s="138"/>
      <c r="F579" s="138"/>
      <c r="G579" s="138"/>
      <c r="H579" s="138"/>
      <c r="I579" s="138"/>
      <c r="J579" s="138"/>
      <c r="K579" s="138"/>
      <c r="L579" s="138"/>
      <c r="M579" s="138"/>
      <c r="N579" s="138"/>
      <c r="O579" s="138"/>
      <c r="P579" s="138"/>
    </row>
    <row r="580">
      <c r="A580" s="138"/>
      <c r="B580" s="138"/>
      <c r="C580" s="138"/>
      <c r="D580" s="138"/>
      <c r="E580" s="138"/>
      <c r="F580" s="138"/>
      <c r="G580" s="138"/>
      <c r="H580" s="138"/>
      <c r="I580" s="138"/>
      <c r="J580" s="138"/>
      <c r="K580" s="138"/>
      <c r="L580" s="138"/>
      <c r="M580" s="138"/>
      <c r="N580" s="138"/>
      <c r="O580" s="138"/>
      <c r="P580" s="138"/>
    </row>
    <row r="581">
      <c r="A581" s="138"/>
      <c r="B581" s="138"/>
      <c r="C581" s="138"/>
      <c r="D581" s="138"/>
      <c r="E581" s="138"/>
      <c r="F581" s="138"/>
      <c r="G581" s="138"/>
      <c r="H581" s="138"/>
      <c r="I581" s="138"/>
      <c r="J581" s="138"/>
      <c r="K581" s="138"/>
      <c r="L581" s="138"/>
      <c r="M581" s="138"/>
      <c r="N581" s="138"/>
      <c r="O581" s="138"/>
      <c r="P581" s="138"/>
    </row>
    <row r="582">
      <c r="A582" s="138"/>
      <c r="B582" s="138"/>
      <c r="C582" s="138"/>
      <c r="D582" s="138"/>
      <c r="E582" s="138"/>
      <c r="F582" s="138"/>
      <c r="G582" s="138"/>
      <c r="H582" s="138"/>
      <c r="I582" s="138"/>
      <c r="J582" s="138"/>
      <c r="K582" s="138"/>
      <c r="L582" s="138"/>
      <c r="M582" s="138"/>
      <c r="N582" s="138"/>
      <c r="O582" s="138"/>
      <c r="P582" s="138"/>
    </row>
    <row r="583">
      <c r="A583" s="138"/>
      <c r="B583" s="138"/>
      <c r="C583" s="138"/>
      <c r="D583" s="138"/>
      <c r="E583" s="138"/>
      <c r="F583" s="138"/>
      <c r="G583" s="138"/>
      <c r="H583" s="138"/>
      <c r="I583" s="138"/>
      <c r="J583" s="138"/>
      <c r="K583" s="138"/>
      <c r="L583" s="138"/>
      <c r="M583" s="138"/>
      <c r="N583" s="138"/>
      <c r="O583" s="138"/>
      <c r="P583" s="138"/>
    </row>
    <row r="584">
      <c r="A584" s="138"/>
      <c r="B584" s="138"/>
      <c r="C584" s="138"/>
      <c r="D584" s="138"/>
      <c r="E584" s="138"/>
      <c r="F584" s="138"/>
      <c r="G584" s="138"/>
      <c r="H584" s="138"/>
      <c r="I584" s="138"/>
      <c r="J584" s="138"/>
      <c r="K584" s="138"/>
      <c r="L584" s="138"/>
      <c r="M584" s="138"/>
      <c r="N584" s="138"/>
      <c r="O584" s="138"/>
      <c r="P584" s="138"/>
    </row>
    <row r="585">
      <c r="A585" s="138"/>
      <c r="B585" s="138"/>
      <c r="C585" s="138"/>
      <c r="D585" s="138"/>
      <c r="E585" s="138"/>
      <c r="F585" s="138"/>
      <c r="G585" s="138"/>
      <c r="H585" s="138"/>
      <c r="I585" s="138"/>
      <c r="J585" s="138"/>
      <c r="K585" s="138"/>
      <c r="L585" s="138"/>
      <c r="M585" s="138"/>
      <c r="N585" s="138"/>
      <c r="O585" s="138"/>
      <c r="P585" s="138"/>
    </row>
    <row r="586">
      <c r="A586" s="138"/>
      <c r="B586" s="138"/>
      <c r="C586" s="138"/>
      <c r="D586" s="138"/>
      <c r="E586" s="138"/>
      <c r="F586" s="138"/>
      <c r="G586" s="138"/>
      <c r="H586" s="138"/>
      <c r="I586" s="138"/>
      <c r="J586" s="138"/>
      <c r="K586" s="138"/>
      <c r="L586" s="138"/>
      <c r="M586" s="138"/>
      <c r="N586" s="138"/>
      <c r="O586" s="138"/>
      <c r="P586" s="138"/>
    </row>
    <row r="587">
      <c r="A587" s="138"/>
      <c r="B587" s="138"/>
      <c r="C587" s="138"/>
      <c r="D587" s="138"/>
      <c r="E587" s="138"/>
      <c r="F587" s="138"/>
      <c r="G587" s="138"/>
      <c r="H587" s="138"/>
      <c r="I587" s="138"/>
      <c r="J587" s="138"/>
      <c r="K587" s="138"/>
      <c r="L587" s="138"/>
      <c r="M587" s="138"/>
      <c r="N587" s="138"/>
      <c r="O587" s="138"/>
      <c r="P587" s="138"/>
    </row>
    <row r="588">
      <c r="A588" s="138"/>
      <c r="B588" s="138"/>
      <c r="C588" s="138"/>
      <c r="D588" s="138"/>
      <c r="E588" s="138"/>
      <c r="F588" s="138"/>
      <c r="G588" s="138"/>
      <c r="H588" s="138"/>
      <c r="I588" s="138"/>
      <c r="J588" s="138"/>
      <c r="K588" s="138"/>
      <c r="L588" s="138"/>
      <c r="M588" s="138"/>
      <c r="N588" s="138"/>
      <c r="O588" s="138"/>
      <c r="P588" s="138"/>
    </row>
    <row r="589">
      <c r="A589" s="138"/>
      <c r="B589" s="138"/>
      <c r="C589" s="138"/>
      <c r="D589" s="138"/>
      <c r="E589" s="138"/>
      <c r="F589" s="138"/>
      <c r="G589" s="138"/>
      <c r="H589" s="138"/>
      <c r="I589" s="138"/>
      <c r="J589" s="138"/>
      <c r="K589" s="138"/>
      <c r="L589" s="138"/>
      <c r="M589" s="138"/>
      <c r="N589" s="138"/>
      <c r="O589" s="138"/>
      <c r="P589" s="138"/>
    </row>
    <row r="590">
      <c r="A590" s="138"/>
      <c r="B590" s="138"/>
      <c r="C590" s="138"/>
      <c r="D590" s="138"/>
      <c r="E590" s="138"/>
      <c r="F590" s="138"/>
      <c r="G590" s="138"/>
      <c r="H590" s="138"/>
      <c r="I590" s="138"/>
      <c r="J590" s="138"/>
      <c r="K590" s="138"/>
      <c r="L590" s="138"/>
      <c r="M590" s="138"/>
      <c r="N590" s="138"/>
      <c r="O590" s="138"/>
      <c r="P590" s="138"/>
    </row>
    <row r="591">
      <c r="A591" s="138"/>
      <c r="B591" s="138"/>
      <c r="C591" s="138"/>
      <c r="D591" s="138"/>
      <c r="E591" s="138"/>
      <c r="F591" s="138"/>
      <c r="G591" s="138"/>
      <c r="H591" s="138"/>
      <c r="I591" s="138"/>
      <c r="J591" s="138"/>
      <c r="K591" s="138"/>
      <c r="L591" s="138"/>
      <c r="M591" s="138"/>
      <c r="N591" s="138"/>
      <c r="O591" s="138"/>
      <c r="P591" s="138"/>
    </row>
    <row r="592">
      <c r="A592" s="138"/>
      <c r="B592" s="138"/>
      <c r="C592" s="138"/>
      <c r="D592" s="138"/>
      <c r="E592" s="138"/>
      <c r="F592" s="138"/>
      <c r="G592" s="138"/>
      <c r="H592" s="138"/>
      <c r="I592" s="138"/>
      <c r="J592" s="138"/>
      <c r="K592" s="138"/>
      <c r="L592" s="138"/>
      <c r="M592" s="138"/>
      <c r="N592" s="138"/>
      <c r="O592" s="138"/>
      <c r="P592" s="138"/>
    </row>
    <row r="593">
      <c r="A593" s="138"/>
      <c r="B593" s="138"/>
      <c r="C593" s="138"/>
      <c r="D593" s="138"/>
      <c r="E593" s="138"/>
      <c r="F593" s="138"/>
      <c r="G593" s="138"/>
      <c r="H593" s="138"/>
      <c r="I593" s="138"/>
      <c r="J593" s="138"/>
      <c r="K593" s="138"/>
      <c r="L593" s="138"/>
      <c r="M593" s="138"/>
      <c r="N593" s="138"/>
      <c r="O593" s="138"/>
      <c r="P593" s="138"/>
    </row>
    <row r="594">
      <c r="A594" s="138"/>
      <c r="B594" s="138"/>
      <c r="C594" s="138"/>
      <c r="D594" s="138"/>
      <c r="E594" s="138"/>
      <c r="F594" s="138"/>
      <c r="G594" s="138"/>
      <c r="H594" s="138"/>
      <c r="I594" s="138"/>
      <c r="J594" s="138"/>
      <c r="K594" s="138"/>
      <c r="L594" s="138"/>
      <c r="M594" s="138"/>
      <c r="N594" s="138"/>
      <c r="O594" s="138"/>
      <c r="P594" s="138"/>
    </row>
    <row r="595">
      <c r="A595" s="138"/>
      <c r="B595" s="138"/>
      <c r="C595" s="138"/>
      <c r="D595" s="138"/>
      <c r="E595" s="138"/>
      <c r="F595" s="138"/>
      <c r="G595" s="138"/>
      <c r="H595" s="138"/>
      <c r="I595" s="138"/>
      <c r="J595" s="138"/>
      <c r="K595" s="138"/>
      <c r="L595" s="138"/>
      <c r="M595" s="138"/>
      <c r="N595" s="138"/>
      <c r="O595" s="138"/>
      <c r="P595" s="138"/>
    </row>
    <row r="596">
      <c r="A596" s="138"/>
      <c r="B596" s="138"/>
      <c r="C596" s="138"/>
      <c r="D596" s="138"/>
      <c r="E596" s="138"/>
      <c r="F596" s="138"/>
      <c r="G596" s="138"/>
      <c r="H596" s="138"/>
      <c r="I596" s="138"/>
      <c r="J596" s="138"/>
      <c r="K596" s="138"/>
      <c r="L596" s="138"/>
      <c r="M596" s="138"/>
      <c r="N596" s="138"/>
      <c r="O596" s="138"/>
      <c r="P596" s="138"/>
    </row>
    <row r="597">
      <c r="A597" s="138"/>
      <c r="B597" s="138"/>
      <c r="C597" s="138"/>
      <c r="D597" s="138"/>
      <c r="E597" s="138"/>
      <c r="F597" s="138"/>
      <c r="G597" s="138"/>
      <c r="H597" s="138"/>
      <c r="I597" s="138"/>
      <c r="J597" s="138"/>
      <c r="K597" s="138"/>
      <c r="L597" s="138"/>
      <c r="M597" s="138"/>
      <c r="N597" s="138"/>
      <c r="O597" s="138"/>
      <c r="P597" s="138"/>
    </row>
    <row r="598">
      <c r="A598" s="138"/>
      <c r="B598" s="138"/>
      <c r="C598" s="138"/>
      <c r="D598" s="138"/>
      <c r="E598" s="138"/>
      <c r="F598" s="138"/>
      <c r="G598" s="138"/>
      <c r="H598" s="138"/>
      <c r="I598" s="138"/>
      <c r="J598" s="138"/>
      <c r="K598" s="138"/>
      <c r="L598" s="138"/>
      <c r="M598" s="138"/>
      <c r="N598" s="138"/>
      <c r="O598" s="138"/>
      <c r="P598" s="138"/>
    </row>
    <row r="599">
      <c r="A599" s="138"/>
      <c r="B599" s="138"/>
      <c r="C599" s="138"/>
      <c r="D599" s="138"/>
      <c r="E599" s="138"/>
      <c r="F599" s="138"/>
      <c r="G599" s="138"/>
      <c r="H599" s="138"/>
      <c r="I599" s="138"/>
      <c r="J599" s="138"/>
      <c r="K599" s="138"/>
      <c r="L599" s="138"/>
      <c r="M599" s="138"/>
      <c r="N599" s="138"/>
      <c r="O599" s="138"/>
      <c r="P599" s="138"/>
    </row>
    <row r="600">
      <c r="A600" s="138"/>
      <c r="B600" s="138"/>
      <c r="C600" s="138"/>
      <c r="D600" s="138"/>
      <c r="E600" s="138"/>
      <c r="F600" s="138"/>
      <c r="G600" s="138"/>
      <c r="H600" s="138"/>
      <c r="I600" s="138"/>
      <c r="J600" s="138"/>
      <c r="K600" s="138"/>
      <c r="L600" s="138"/>
      <c r="M600" s="138"/>
      <c r="N600" s="138"/>
      <c r="O600" s="138"/>
      <c r="P600" s="138"/>
    </row>
    <row r="601">
      <c r="A601" s="138"/>
      <c r="B601" s="138"/>
      <c r="C601" s="138"/>
      <c r="D601" s="138"/>
      <c r="E601" s="138"/>
      <c r="F601" s="138"/>
      <c r="G601" s="138"/>
      <c r="H601" s="138"/>
      <c r="I601" s="138"/>
      <c r="J601" s="138"/>
      <c r="K601" s="138"/>
      <c r="L601" s="138"/>
      <c r="M601" s="138"/>
      <c r="N601" s="138"/>
      <c r="O601" s="138"/>
      <c r="P601" s="138"/>
    </row>
    <row r="602">
      <c r="A602" s="138"/>
      <c r="B602" s="138"/>
      <c r="C602" s="138"/>
      <c r="D602" s="138"/>
      <c r="E602" s="138"/>
      <c r="F602" s="138"/>
      <c r="G602" s="138"/>
      <c r="H602" s="138"/>
      <c r="I602" s="138"/>
      <c r="J602" s="138"/>
      <c r="K602" s="138"/>
      <c r="L602" s="138"/>
      <c r="M602" s="138"/>
      <c r="N602" s="138"/>
      <c r="O602" s="138"/>
      <c r="P602" s="138"/>
    </row>
    <row r="603">
      <c r="A603" s="138"/>
      <c r="B603" s="138"/>
      <c r="C603" s="138"/>
      <c r="D603" s="138"/>
      <c r="E603" s="138"/>
      <c r="F603" s="138"/>
      <c r="G603" s="138"/>
      <c r="H603" s="138"/>
      <c r="I603" s="138"/>
      <c r="J603" s="138"/>
      <c r="K603" s="138"/>
      <c r="L603" s="138"/>
      <c r="M603" s="138"/>
      <c r="N603" s="138"/>
      <c r="O603" s="138"/>
      <c r="P603" s="138"/>
    </row>
    <row r="604">
      <c r="A604" s="138"/>
      <c r="B604" s="138"/>
      <c r="C604" s="138"/>
      <c r="D604" s="138"/>
      <c r="E604" s="138"/>
      <c r="F604" s="138"/>
      <c r="G604" s="138"/>
      <c r="H604" s="138"/>
      <c r="I604" s="138"/>
      <c r="J604" s="138"/>
      <c r="K604" s="138"/>
      <c r="L604" s="138"/>
      <c r="M604" s="138"/>
      <c r="N604" s="138"/>
      <c r="O604" s="138"/>
      <c r="P604" s="138"/>
    </row>
    <row r="605">
      <c r="A605" s="138"/>
      <c r="B605" s="138"/>
      <c r="C605" s="138"/>
      <c r="D605" s="138"/>
      <c r="E605" s="138"/>
      <c r="F605" s="138"/>
      <c r="G605" s="138"/>
      <c r="H605" s="138"/>
      <c r="I605" s="138"/>
      <c r="J605" s="138"/>
      <c r="K605" s="138"/>
      <c r="L605" s="138"/>
      <c r="M605" s="138"/>
      <c r="N605" s="138"/>
      <c r="O605" s="138"/>
      <c r="P605" s="138"/>
    </row>
    <row r="606">
      <c r="A606" s="138"/>
      <c r="B606" s="138"/>
      <c r="C606" s="138"/>
      <c r="D606" s="138"/>
      <c r="E606" s="138"/>
      <c r="F606" s="138"/>
      <c r="G606" s="138"/>
      <c r="H606" s="138"/>
      <c r="I606" s="138"/>
      <c r="J606" s="138"/>
      <c r="K606" s="138"/>
      <c r="L606" s="138"/>
      <c r="M606" s="138"/>
      <c r="N606" s="138"/>
      <c r="O606" s="138"/>
      <c r="P606" s="138"/>
    </row>
    <row r="607">
      <c r="A607" s="138"/>
      <c r="B607" s="138"/>
      <c r="C607" s="138"/>
      <c r="D607" s="138"/>
      <c r="E607" s="138"/>
      <c r="F607" s="138"/>
      <c r="G607" s="138"/>
      <c r="H607" s="138"/>
      <c r="I607" s="138"/>
      <c r="J607" s="138"/>
      <c r="K607" s="138"/>
      <c r="L607" s="138"/>
      <c r="M607" s="138"/>
      <c r="N607" s="138"/>
      <c r="O607" s="138"/>
      <c r="P607" s="138"/>
    </row>
    <row r="608">
      <c r="A608" s="138"/>
      <c r="B608" s="138"/>
      <c r="C608" s="138"/>
      <c r="D608" s="138"/>
      <c r="E608" s="138"/>
      <c r="F608" s="138"/>
      <c r="G608" s="138"/>
      <c r="H608" s="138"/>
      <c r="I608" s="138"/>
      <c r="J608" s="138"/>
      <c r="K608" s="138"/>
      <c r="L608" s="138"/>
      <c r="M608" s="138"/>
      <c r="N608" s="138"/>
      <c r="O608" s="138"/>
      <c r="P608" s="138"/>
    </row>
    <row r="609">
      <c r="A609" s="138"/>
      <c r="B609" s="138"/>
      <c r="C609" s="138"/>
      <c r="D609" s="138"/>
      <c r="E609" s="138"/>
      <c r="F609" s="138"/>
      <c r="G609" s="138"/>
      <c r="H609" s="138"/>
      <c r="I609" s="138"/>
      <c r="J609" s="138"/>
      <c r="K609" s="138"/>
      <c r="L609" s="138"/>
      <c r="M609" s="138"/>
      <c r="N609" s="138"/>
      <c r="O609" s="138"/>
      <c r="P609" s="138"/>
    </row>
    <row r="610">
      <c r="A610" s="138"/>
      <c r="B610" s="138"/>
      <c r="C610" s="138"/>
      <c r="D610" s="138"/>
      <c r="E610" s="138"/>
      <c r="F610" s="138"/>
      <c r="G610" s="138"/>
      <c r="H610" s="138"/>
      <c r="I610" s="138"/>
      <c r="J610" s="138"/>
      <c r="K610" s="138"/>
      <c r="L610" s="138"/>
      <c r="M610" s="138"/>
      <c r="N610" s="138"/>
      <c r="O610" s="138"/>
      <c r="P610" s="138"/>
    </row>
    <row r="611">
      <c r="A611" s="138"/>
      <c r="B611" s="138"/>
      <c r="C611" s="138"/>
      <c r="D611" s="138"/>
      <c r="E611" s="138"/>
      <c r="F611" s="138"/>
      <c r="G611" s="138"/>
      <c r="H611" s="138"/>
      <c r="I611" s="138"/>
      <c r="J611" s="138"/>
      <c r="K611" s="138"/>
      <c r="L611" s="138"/>
      <c r="M611" s="138"/>
      <c r="N611" s="138"/>
      <c r="O611" s="138"/>
      <c r="P611" s="138"/>
    </row>
    <row r="612">
      <c r="A612" s="138"/>
      <c r="B612" s="138"/>
      <c r="C612" s="138"/>
      <c r="D612" s="138"/>
      <c r="E612" s="138"/>
      <c r="F612" s="138"/>
      <c r="G612" s="138"/>
      <c r="H612" s="138"/>
      <c r="I612" s="138"/>
      <c r="J612" s="138"/>
      <c r="K612" s="138"/>
      <c r="L612" s="138"/>
      <c r="M612" s="138"/>
      <c r="N612" s="138"/>
      <c r="O612" s="138"/>
      <c r="P612" s="138"/>
    </row>
    <row r="613">
      <c r="A613" s="138"/>
      <c r="B613" s="138"/>
      <c r="C613" s="138"/>
      <c r="D613" s="138"/>
      <c r="E613" s="138"/>
      <c r="F613" s="138"/>
      <c r="G613" s="138"/>
      <c r="H613" s="138"/>
      <c r="I613" s="138"/>
      <c r="J613" s="138"/>
      <c r="K613" s="138"/>
      <c r="L613" s="138"/>
      <c r="M613" s="138"/>
      <c r="N613" s="138"/>
      <c r="O613" s="138"/>
      <c r="P613" s="138"/>
    </row>
    <row r="614">
      <c r="A614" s="138"/>
      <c r="B614" s="138"/>
      <c r="C614" s="138"/>
      <c r="D614" s="138"/>
      <c r="E614" s="138"/>
      <c r="F614" s="138"/>
      <c r="G614" s="138"/>
      <c r="H614" s="138"/>
      <c r="I614" s="138"/>
      <c r="J614" s="138"/>
      <c r="K614" s="138"/>
      <c r="L614" s="138"/>
      <c r="M614" s="138"/>
      <c r="N614" s="138"/>
      <c r="O614" s="138"/>
      <c r="P614" s="138"/>
    </row>
    <row r="615">
      <c r="A615" s="138"/>
      <c r="B615" s="138"/>
      <c r="C615" s="138"/>
      <c r="D615" s="138"/>
      <c r="E615" s="138"/>
      <c r="F615" s="138"/>
      <c r="G615" s="138"/>
      <c r="H615" s="138"/>
      <c r="I615" s="138"/>
      <c r="J615" s="138"/>
      <c r="K615" s="138"/>
      <c r="L615" s="138"/>
      <c r="M615" s="138"/>
      <c r="N615" s="138"/>
      <c r="O615" s="138"/>
      <c r="P615" s="138"/>
    </row>
    <row r="616">
      <c r="A616" s="138"/>
      <c r="B616" s="138"/>
      <c r="C616" s="138"/>
      <c r="D616" s="138"/>
      <c r="E616" s="138"/>
      <c r="F616" s="138"/>
      <c r="G616" s="138"/>
      <c r="H616" s="138"/>
      <c r="I616" s="138"/>
      <c r="J616" s="138"/>
      <c r="K616" s="138"/>
      <c r="L616" s="138"/>
      <c r="M616" s="138"/>
      <c r="N616" s="138"/>
      <c r="O616" s="138"/>
      <c r="P616" s="138"/>
    </row>
    <row r="617">
      <c r="A617" s="138"/>
      <c r="B617" s="138"/>
      <c r="C617" s="138"/>
      <c r="D617" s="138"/>
      <c r="E617" s="138"/>
      <c r="F617" s="138"/>
      <c r="G617" s="138"/>
      <c r="H617" s="138"/>
      <c r="I617" s="138"/>
      <c r="J617" s="138"/>
      <c r="K617" s="138"/>
      <c r="L617" s="138"/>
      <c r="M617" s="138"/>
      <c r="N617" s="138"/>
      <c r="O617" s="138"/>
      <c r="P617" s="138"/>
    </row>
    <row r="618">
      <c r="A618" s="138"/>
      <c r="B618" s="138"/>
      <c r="C618" s="138"/>
      <c r="D618" s="138"/>
      <c r="E618" s="138"/>
      <c r="F618" s="138"/>
      <c r="G618" s="138"/>
      <c r="H618" s="138"/>
      <c r="I618" s="138"/>
      <c r="J618" s="138"/>
      <c r="K618" s="138"/>
      <c r="L618" s="138"/>
      <c r="M618" s="138"/>
      <c r="N618" s="138"/>
      <c r="O618" s="138"/>
      <c r="P618" s="138"/>
    </row>
    <row r="619">
      <c r="A619" s="138"/>
      <c r="B619" s="138"/>
      <c r="C619" s="138"/>
      <c r="D619" s="138"/>
      <c r="E619" s="138"/>
      <c r="F619" s="138"/>
      <c r="G619" s="138"/>
      <c r="H619" s="138"/>
      <c r="I619" s="138"/>
      <c r="J619" s="138"/>
      <c r="K619" s="138"/>
      <c r="L619" s="138"/>
      <c r="M619" s="138"/>
      <c r="N619" s="138"/>
      <c r="O619" s="138"/>
      <c r="P619" s="138"/>
    </row>
    <row r="620">
      <c r="A620" s="138"/>
      <c r="B620" s="138"/>
      <c r="C620" s="138"/>
      <c r="D620" s="138"/>
      <c r="E620" s="138"/>
      <c r="F620" s="138"/>
      <c r="G620" s="138"/>
      <c r="H620" s="138"/>
      <c r="I620" s="138"/>
      <c r="J620" s="138"/>
      <c r="K620" s="138"/>
      <c r="L620" s="138"/>
      <c r="M620" s="138"/>
      <c r="N620" s="138"/>
      <c r="O620" s="138"/>
      <c r="P620" s="138"/>
    </row>
    <row r="621">
      <c r="A621" s="138"/>
      <c r="B621" s="138"/>
      <c r="C621" s="138"/>
      <c r="D621" s="138"/>
      <c r="E621" s="138"/>
      <c r="F621" s="138"/>
      <c r="G621" s="138"/>
      <c r="H621" s="138"/>
      <c r="I621" s="138"/>
      <c r="J621" s="138"/>
      <c r="K621" s="138"/>
      <c r="L621" s="138"/>
      <c r="M621" s="138"/>
      <c r="N621" s="138"/>
      <c r="O621" s="138"/>
      <c r="P621" s="138"/>
    </row>
    <row r="622">
      <c r="A622" s="138"/>
      <c r="B622" s="138"/>
      <c r="C622" s="138"/>
      <c r="D622" s="138"/>
      <c r="E622" s="138"/>
      <c r="F622" s="138"/>
      <c r="G622" s="138"/>
      <c r="H622" s="138"/>
      <c r="I622" s="138"/>
      <c r="J622" s="138"/>
      <c r="K622" s="138"/>
      <c r="L622" s="138"/>
      <c r="M622" s="138"/>
      <c r="N622" s="138"/>
      <c r="O622" s="138"/>
      <c r="P622" s="138"/>
    </row>
    <row r="623">
      <c r="A623" s="138"/>
      <c r="B623" s="138"/>
      <c r="C623" s="138"/>
      <c r="D623" s="138"/>
      <c r="E623" s="138"/>
      <c r="F623" s="138"/>
      <c r="G623" s="138"/>
      <c r="H623" s="138"/>
      <c r="I623" s="138"/>
      <c r="J623" s="138"/>
      <c r="K623" s="138"/>
      <c r="L623" s="138"/>
      <c r="M623" s="138"/>
      <c r="N623" s="138"/>
      <c r="O623" s="138"/>
      <c r="P623" s="138"/>
    </row>
    <row r="624">
      <c r="A624" s="138"/>
      <c r="B624" s="138"/>
      <c r="C624" s="138"/>
      <c r="D624" s="138"/>
      <c r="E624" s="138"/>
      <c r="F624" s="138"/>
      <c r="G624" s="138"/>
      <c r="H624" s="138"/>
      <c r="I624" s="138"/>
      <c r="J624" s="138"/>
      <c r="K624" s="138"/>
      <c r="L624" s="138"/>
      <c r="M624" s="138"/>
      <c r="N624" s="138"/>
      <c r="O624" s="138"/>
      <c r="P624" s="138"/>
    </row>
    <row r="625">
      <c r="A625" s="138"/>
      <c r="B625" s="138"/>
      <c r="C625" s="138"/>
      <c r="D625" s="138"/>
      <c r="E625" s="138"/>
      <c r="F625" s="138"/>
      <c r="G625" s="138"/>
      <c r="H625" s="138"/>
      <c r="I625" s="138"/>
      <c r="J625" s="138"/>
      <c r="K625" s="138"/>
      <c r="L625" s="138"/>
      <c r="M625" s="138"/>
      <c r="N625" s="138"/>
      <c r="O625" s="138"/>
      <c r="P625" s="138"/>
    </row>
    <row r="626">
      <c r="A626" s="138"/>
      <c r="B626" s="138"/>
      <c r="C626" s="138"/>
      <c r="D626" s="138"/>
      <c r="E626" s="138"/>
      <c r="F626" s="138"/>
      <c r="G626" s="138"/>
      <c r="H626" s="138"/>
      <c r="I626" s="138"/>
      <c r="J626" s="138"/>
      <c r="K626" s="138"/>
      <c r="L626" s="138"/>
      <c r="M626" s="138"/>
      <c r="N626" s="138"/>
      <c r="O626" s="138"/>
      <c r="P626" s="138"/>
    </row>
    <row r="627">
      <c r="A627" s="138"/>
      <c r="B627" s="138"/>
      <c r="C627" s="138"/>
      <c r="D627" s="138"/>
      <c r="E627" s="138"/>
      <c r="F627" s="138"/>
      <c r="G627" s="138"/>
      <c r="H627" s="138"/>
      <c r="I627" s="138"/>
      <c r="J627" s="138"/>
      <c r="K627" s="138"/>
      <c r="L627" s="138"/>
      <c r="M627" s="138"/>
      <c r="N627" s="138"/>
      <c r="O627" s="138"/>
      <c r="P627" s="138"/>
    </row>
    <row r="628">
      <c r="A628" s="138"/>
      <c r="B628" s="138"/>
      <c r="C628" s="138"/>
      <c r="D628" s="138"/>
      <c r="E628" s="138"/>
      <c r="F628" s="138"/>
      <c r="G628" s="138"/>
      <c r="H628" s="138"/>
      <c r="I628" s="138"/>
      <c r="J628" s="138"/>
      <c r="K628" s="138"/>
      <c r="L628" s="138"/>
      <c r="M628" s="138"/>
      <c r="N628" s="138"/>
      <c r="O628" s="138"/>
      <c r="P628" s="138"/>
    </row>
    <row r="629">
      <c r="A629" s="138"/>
      <c r="B629" s="138"/>
      <c r="C629" s="138"/>
      <c r="D629" s="138"/>
      <c r="E629" s="138"/>
      <c r="F629" s="138"/>
      <c r="G629" s="138"/>
      <c r="H629" s="138"/>
      <c r="I629" s="138"/>
      <c r="J629" s="138"/>
      <c r="K629" s="138"/>
      <c r="L629" s="138"/>
      <c r="M629" s="138"/>
      <c r="N629" s="138"/>
      <c r="O629" s="138"/>
      <c r="P629" s="138"/>
    </row>
    <row r="630">
      <c r="A630" s="138"/>
      <c r="B630" s="138"/>
      <c r="C630" s="138"/>
      <c r="D630" s="138"/>
      <c r="E630" s="138"/>
      <c r="F630" s="138"/>
      <c r="G630" s="138"/>
      <c r="H630" s="138"/>
      <c r="I630" s="138"/>
      <c r="J630" s="138"/>
      <c r="K630" s="138"/>
      <c r="L630" s="138"/>
      <c r="M630" s="138"/>
      <c r="N630" s="138"/>
      <c r="O630" s="138"/>
      <c r="P630" s="138"/>
    </row>
    <row r="631">
      <c r="A631" s="138"/>
      <c r="B631" s="138"/>
      <c r="C631" s="138"/>
      <c r="D631" s="138"/>
      <c r="E631" s="138"/>
      <c r="F631" s="138"/>
      <c r="G631" s="138"/>
      <c r="H631" s="138"/>
      <c r="I631" s="138"/>
      <c r="J631" s="138"/>
      <c r="K631" s="138"/>
      <c r="L631" s="138"/>
      <c r="M631" s="138"/>
      <c r="N631" s="138"/>
      <c r="O631" s="138"/>
      <c r="P631" s="138"/>
    </row>
    <row r="632">
      <c r="A632" s="138"/>
      <c r="B632" s="138"/>
      <c r="C632" s="138"/>
      <c r="D632" s="138"/>
      <c r="E632" s="138"/>
      <c r="F632" s="138"/>
      <c r="G632" s="138"/>
      <c r="H632" s="138"/>
      <c r="I632" s="138"/>
      <c r="J632" s="138"/>
      <c r="K632" s="138"/>
      <c r="L632" s="138"/>
      <c r="M632" s="138"/>
      <c r="N632" s="138"/>
      <c r="O632" s="138"/>
      <c r="P632" s="138"/>
    </row>
    <row r="633">
      <c r="A633" s="138"/>
      <c r="B633" s="138"/>
      <c r="C633" s="138"/>
      <c r="D633" s="138"/>
      <c r="E633" s="138"/>
      <c r="F633" s="138"/>
      <c r="G633" s="138"/>
      <c r="H633" s="138"/>
      <c r="I633" s="138"/>
      <c r="J633" s="138"/>
      <c r="K633" s="138"/>
      <c r="L633" s="138"/>
      <c r="M633" s="138"/>
      <c r="N633" s="138"/>
      <c r="O633" s="138"/>
      <c r="P633" s="138"/>
    </row>
    <row r="634">
      <c r="A634" s="138"/>
      <c r="B634" s="138"/>
      <c r="C634" s="138"/>
      <c r="D634" s="138"/>
      <c r="E634" s="138"/>
      <c r="F634" s="138"/>
      <c r="G634" s="138"/>
      <c r="H634" s="138"/>
      <c r="I634" s="138"/>
      <c r="J634" s="138"/>
      <c r="K634" s="138"/>
      <c r="L634" s="138"/>
      <c r="M634" s="138"/>
      <c r="N634" s="138"/>
      <c r="O634" s="138"/>
      <c r="P634" s="138"/>
    </row>
    <row r="635">
      <c r="A635" s="138"/>
      <c r="B635" s="138"/>
      <c r="C635" s="138"/>
      <c r="D635" s="138"/>
      <c r="E635" s="138"/>
      <c r="F635" s="138"/>
      <c r="G635" s="138"/>
      <c r="H635" s="138"/>
      <c r="I635" s="138"/>
      <c r="J635" s="138"/>
      <c r="K635" s="138"/>
      <c r="L635" s="138"/>
      <c r="M635" s="138"/>
      <c r="N635" s="138"/>
      <c r="O635" s="138"/>
      <c r="P635" s="138"/>
    </row>
    <row r="636">
      <c r="A636" s="138"/>
      <c r="B636" s="138"/>
      <c r="C636" s="138"/>
      <c r="D636" s="138"/>
      <c r="E636" s="138"/>
      <c r="F636" s="138"/>
      <c r="G636" s="138"/>
      <c r="H636" s="138"/>
      <c r="I636" s="138"/>
      <c r="J636" s="138"/>
      <c r="K636" s="138"/>
      <c r="L636" s="138"/>
      <c r="M636" s="138"/>
      <c r="N636" s="138"/>
      <c r="O636" s="138"/>
      <c r="P636" s="138"/>
    </row>
    <row r="637">
      <c r="A637" s="138"/>
      <c r="B637" s="138"/>
      <c r="C637" s="138"/>
      <c r="D637" s="138"/>
      <c r="E637" s="138"/>
      <c r="F637" s="138"/>
      <c r="G637" s="138"/>
      <c r="H637" s="138"/>
      <c r="I637" s="138"/>
      <c r="J637" s="138"/>
      <c r="K637" s="138"/>
      <c r="L637" s="138"/>
      <c r="M637" s="138"/>
      <c r="N637" s="138"/>
      <c r="O637" s="138"/>
      <c r="P637" s="138"/>
    </row>
    <row r="638">
      <c r="A638" s="138"/>
      <c r="B638" s="138"/>
      <c r="C638" s="138"/>
      <c r="D638" s="138"/>
      <c r="E638" s="138"/>
      <c r="F638" s="138"/>
      <c r="G638" s="138"/>
      <c r="H638" s="138"/>
      <c r="I638" s="138"/>
      <c r="J638" s="138"/>
      <c r="K638" s="138"/>
      <c r="L638" s="138"/>
      <c r="M638" s="138"/>
      <c r="N638" s="138"/>
      <c r="O638" s="138"/>
      <c r="P638" s="138"/>
    </row>
    <row r="639">
      <c r="A639" s="138"/>
      <c r="B639" s="138"/>
      <c r="C639" s="138"/>
      <c r="D639" s="138"/>
      <c r="E639" s="138"/>
      <c r="F639" s="138"/>
      <c r="G639" s="138"/>
      <c r="H639" s="138"/>
      <c r="I639" s="138"/>
      <c r="J639" s="138"/>
      <c r="K639" s="138"/>
      <c r="L639" s="138"/>
      <c r="M639" s="138"/>
      <c r="N639" s="138"/>
      <c r="O639" s="138"/>
      <c r="P639" s="138"/>
    </row>
    <row r="640">
      <c r="A640" s="138"/>
      <c r="B640" s="138"/>
      <c r="C640" s="138"/>
      <c r="D640" s="138"/>
      <c r="E640" s="138"/>
      <c r="F640" s="138"/>
      <c r="G640" s="138"/>
      <c r="H640" s="138"/>
      <c r="I640" s="138"/>
      <c r="J640" s="138"/>
      <c r="K640" s="138"/>
      <c r="L640" s="138"/>
      <c r="M640" s="138"/>
      <c r="N640" s="138"/>
      <c r="O640" s="138"/>
      <c r="P640" s="138"/>
    </row>
    <row r="641">
      <c r="A641" s="138"/>
      <c r="B641" s="138"/>
      <c r="C641" s="138"/>
      <c r="D641" s="138"/>
      <c r="E641" s="138"/>
      <c r="F641" s="138"/>
      <c r="G641" s="138"/>
      <c r="H641" s="138"/>
      <c r="I641" s="138"/>
      <c r="J641" s="138"/>
      <c r="K641" s="138"/>
      <c r="L641" s="138"/>
      <c r="M641" s="138"/>
      <c r="N641" s="138"/>
      <c r="O641" s="138"/>
      <c r="P641" s="138"/>
    </row>
    <row r="642">
      <c r="A642" s="138"/>
      <c r="B642" s="138"/>
      <c r="C642" s="138"/>
      <c r="D642" s="138"/>
      <c r="E642" s="138"/>
      <c r="F642" s="138"/>
      <c r="G642" s="138"/>
      <c r="H642" s="138"/>
      <c r="I642" s="138"/>
      <c r="J642" s="138"/>
      <c r="K642" s="138"/>
      <c r="L642" s="138"/>
      <c r="M642" s="138"/>
      <c r="N642" s="138"/>
      <c r="O642" s="138"/>
      <c r="P642" s="138"/>
    </row>
    <row r="643">
      <c r="A643" s="138"/>
      <c r="B643" s="138"/>
      <c r="C643" s="138"/>
      <c r="D643" s="138"/>
      <c r="E643" s="138"/>
      <c r="F643" s="138"/>
      <c r="G643" s="138"/>
      <c r="H643" s="138"/>
      <c r="I643" s="138"/>
      <c r="J643" s="138"/>
      <c r="K643" s="138"/>
      <c r="L643" s="138"/>
      <c r="M643" s="138"/>
      <c r="N643" s="138"/>
      <c r="O643" s="138"/>
      <c r="P643" s="138"/>
    </row>
    <row r="644">
      <c r="A644" s="138"/>
      <c r="B644" s="138"/>
      <c r="C644" s="138"/>
      <c r="D644" s="138"/>
      <c r="E644" s="138"/>
      <c r="F644" s="138"/>
      <c r="G644" s="138"/>
      <c r="H644" s="138"/>
      <c r="I644" s="138"/>
      <c r="J644" s="138"/>
      <c r="K644" s="138"/>
      <c r="L644" s="138"/>
      <c r="M644" s="138"/>
      <c r="N644" s="138"/>
      <c r="O644" s="138"/>
      <c r="P644" s="138"/>
    </row>
    <row r="645">
      <c r="A645" s="138"/>
      <c r="B645" s="138"/>
      <c r="C645" s="138"/>
      <c r="D645" s="138"/>
      <c r="E645" s="138"/>
      <c r="F645" s="138"/>
      <c r="G645" s="138"/>
      <c r="H645" s="138"/>
      <c r="I645" s="138"/>
      <c r="J645" s="138"/>
      <c r="K645" s="138"/>
      <c r="L645" s="138"/>
      <c r="M645" s="138"/>
      <c r="N645" s="138"/>
      <c r="O645" s="138"/>
      <c r="P645" s="138"/>
    </row>
    <row r="646">
      <c r="A646" s="138"/>
      <c r="B646" s="138"/>
      <c r="C646" s="138"/>
      <c r="D646" s="138"/>
      <c r="E646" s="138"/>
      <c r="F646" s="138"/>
      <c r="G646" s="138"/>
      <c r="H646" s="138"/>
      <c r="I646" s="138"/>
      <c r="J646" s="138"/>
      <c r="K646" s="138"/>
      <c r="L646" s="138"/>
      <c r="M646" s="138"/>
      <c r="N646" s="138"/>
      <c r="O646" s="138"/>
      <c r="P646" s="138"/>
    </row>
    <row r="647">
      <c r="A647" s="138"/>
      <c r="B647" s="138"/>
      <c r="C647" s="138"/>
      <c r="D647" s="138"/>
      <c r="E647" s="138"/>
      <c r="F647" s="138"/>
      <c r="G647" s="138"/>
      <c r="H647" s="138"/>
      <c r="I647" s="138"/>
      <c r="J647" s="138"/>
      <c r="K647" s="138"/>
      <c r="L647" s="138"/>
      <c r="M647" s="138"/>
      <c r="N647" s="138"/>
      <c r="O647" s="138"/>
      <c r="P647" s="138"/>
    </row>
    <row r="648">
      <c r="A648" s="138"/>
      <c r="B648" s="138"/>
      <c r="C648" s="138"/>
      <c r="D648" s="138"/>
      <c r="E648" s="138"/>
      <c r="F648" s="138"/>
      <c r="G648" s="138"/>
      <c r="H648" s="138"/>
      <c r="I648" s="138"/>
      <c r="J648" s="138"/>
      <c r="K648" s="138"/>
      <c r="L648" s="138"/>
      <c r="M648" s="138"/>
      <c r="N648" s="138"/>
      <c r="O648" s="138"/>
      <c r="P648" s="138"/>
    </row>
    <row r="649">
      <c r="A649" s="138"/>
      <c r="B649" s="138"/>
      <c r="C649" s="138"/>
      <c r="D649" s="138"/>
      <c r="E649" s="138"/>
      <c r="F649" s="138"/>
      <c r="G649" s="138"/>
      <c r="H649" s="138"/>
      <c r="I649" s="138"/>
      <c r="J649" s="138"/>
      <c r="K649" s="138"/>
      <c r="L649" s="138"/>
      <c r="M649" s="138"/>
      <c r="N649" s="138"/>
      <c r="O649" s="138"/>
      <c r="P649" s="138"/>
    </row>
    <row r="650">
      <c r="A650" s="138"/>
      <c r="B650" s="138"/>
      <c r="C650" s="138"/>
      <c r="D650" s="138"/>
      <c r="E650" s="138"/>
      <c r="F650" s="138"/>
      <c r="G650" s="138"/>
      <c r="H650" s="138"/>
      <c r="I650" s="138"/>
      <c r="J650" s="138"/>
      <c r="K650" s="138"/>
      <c r="L650" s="138"/>
      <c r="M650" s="138"/>
      <c r="N650" s="138"/>
      <c r="O650" s="138"/>
      <c r="P650" s="138"/>
    </row>
    <row r="651">
      <c r="A651" s="138"/>
      <c r="B651" s="138"/>
      <c r="C651" s="138"/>
      <c r="D651" s="138"/>
      <c r="E651" s="138"/>
      <c r="F651" s="138"/>
      <c r="G651" s="138"/>
      <c r="H651" s="138"/>
      <c r="I651" s="138"/>
      <c r="J651" s="138"/>
      <c r="K651" s="138"/>
      <c r="L651" s="138"/>
      <c r="M651" s="138"/>
      <c r="N651" s="138"/>
      <c r="O651" s="138"/>
      <c r="P651" s="138"/>
    </row>
    <row r="652">
      <c r="A652" s="138"/>
      <c r="B652" s="138"/>
      <c r="C652" s="138"/>
      <c r="D652" s="138"/>
      <c r="E652" s="138"/>
      <c r="F652" s="138"/>
      <c r="G652" s="138"/>
      <c r="H652" s="138"/>
      <c r="I652" s="138"/>
      <c r="J652" s="138"/>
      <c r="K652" s="138"/>
      <c r="L652" s="138"/>
      <c r="M652" s="138"/>
      <c r="N652" s="138"/>
      <c r="O652" s="138"/>
      <c r="P652" s="138"/>
    </row>
    <row r="653">
      <c r="A653" s="138"/>
      <c r="B653" s="138"/>
      <c r="C653" s="138"/>
      <c r="D653" s="138"/>
      <c r="E653" s="138"/>
      <c r="F653" s="138"/>
      <c r="G653" s="138"/>
      <c r="H653" s="138"/>
      <c r="I653" s="138"/>
      <c r="J653" s="138"/>
      <c r="K653" s="138"/>
      <c r="L653" s="138"/>
      <c r="M653" s="138"/>
      <c r="N653" s="138"/>
      <c r="O653" s="138"/>
      <c r="P653" s="138"/>
    </row>
    <row r="654">
      <c r="A654" s="138"/>
      <c r="B654" s="138"/>
      <c r="C654" s="138"/>
      <c r="D654" s="138"/>
      <c r="E654" s="138"/>
      <c r="F654" s="138"/>
      <c r="G654" s="138"/>
      <c r="H654" s="138"/>
      <c r="I654" s="138"/>
      <c r="J654" s="138"/>
      <c r="K654" s="138"/>
      <c r="L654" s="138"/>
      <c r="M654" s="138"/>
      <c r="N654" s="138"/>
      <c r="O654" s="138"/>
      <c r="P654" s="138"/>
    </row>
    <row r="655">
      <c r="A655" s="138"/>
      <c r="B655" s="138"/>
      <c r="C655" s="138"/>
      <c r="D655" s="138"/>
      <c r="E655" s="138"/>
      <c r="F655" s="138"/>
      <c r="G655" s="138"/>
      <c r="H655" s="138"/>
      <c r="I655" s="138"/>
      <c r="J655" s="138"/>
      <c r="K655" s="138"/>
      <c r="L655" s="138"/>
      <c r="M655" s="138"/>
      <c r="N655" s="138"/>
      <c r="O655" s="138"/>
      <c r="P655" s="138"/>
    </row>
    <row r="656">
      <c r="A656" s="138"/>
      <c r="B656" s="138"/>
      <c r="C656" s="138"/>
      <c r="D656" s="138"/>
      <c r="E656" s="138"/>
      <c r="F656" s="138"/>
      <c r="G656" s="138"/>
      <c r="H656" s="138"/>
      <c r="I656" s="138"/>
      <c r="J656" s="138"/>
      <c r="K656" s="138"/>
      <c r="L656" s="138"/>
      <c r="M656" s="138"/>
      <c r="N656" s="138"/>
      <c r="O656" s="138"/>
      <c r="P656" s="138"/>
    </row>
    <row r="657">
      <c r="A657" s="138"/>
      <c r="B657" s="138"/>
      <c r="C657" s="138"/>
      <c r="D657" s="138"/>
      <c r="E657" s="138"/>
      <c r="F657" s="138"/>
      <c r="G657" s="138"/>
      <c r="H657" s="138"/>
      <c r="I657" s="138"/>
      <c r="J657" s="138"/>
      <c r="K657" s="138"/>
      <c r="L657" s="138"/>
      <c r="M657" s="138"/>
      <c r="N657" s="138"/>
      <c r="O657" s="138"/>
      <c r="P657" s="138"/>
    </row>
    <row r="658">
      <c r="A658" s="138"/>
      <c r="B658" s="138"/>
      <c r="C658" s="138"/>
      <c r="D658" s="138"/>
      <c r="E658" s="138"/>
      <c r="F658" s="138"/>
      <c r="G658" s="138"/>
      <c r="H658" s="138"/>
      <c r="I658" s="138"/>
      <c r="J658" s="138"/>
      <c r="K658" s="138"/>
      <c r="L658" s="138"/>
      <c r="M658" s="138"/>
      <c r="N658" s="138"/>
      <c r="O658" s="138"/>
      <c r="P658" s="138"/>
    </row>
    <row r="659">
      <c r="A659" s="138"/>
      <c r="B659" s="138"/>
      <c r="C659" s="138"/>
      <c r="D659" s="138"/>
      <c r="E659" s="138"/>
      <c r="F659" s="138"/>
      <c r="G659" s="138"/>
      <c r="H659" s="138"/>
      <c r="I659" s="138"/>
      <c r="J659" s="138"/>
      <c r="K659" s="138"/>
      <c r="L659" s="138"/>
      <c r="M659" s="138"/>
      <c r="N659" s="138"/>
      <c r="O659" s="138"/>
      <c r="P659" s="138"/>
    </row>
    <row r="660">
      <c r="A660" s="138"/>
      <c r="B660" s="138"/>
      <c r="C660" s="138"/>
      <c r="D660" s="138"/>
      <c r="E660" s="138"/>
      <c r="F660" s="138"/>
      <c r="G660" s="138"/>
      <c r="H660" s="138"/>
      <c r="I660" s="138"/>
      <c r="J660" s="138"/>
      <c r="K660" s="138"/>
      <c r="L660" s="138"/>
      <c r="M660" s="138"/>
      <c r="N660" s="138"/>
      <c r="O660" s="138"/>
      <c r="P660" s="138"/>
    </row>
    <row r="661">
      <c r="A661" s="138"/>
      <c r="B661" s="138"/>
      <c r="C661" s="138"/>
      <c r="D661" s="138"/>
      <c r="E661" s="138"/>
      <c r="F661" s="138"/>
      <c r="G661" s="138"/>
      <c r="H661" s="138"/>
      <c r="I661" s="138"/>
      <c r="J661" s="138"/>
      <c r="K661" s="138"/>
      <c r="L661" s="138"/>
      <c r="M661" s="138"/>
      <c r="N661" s="138"/>
      <c r="O661" s="138"/>
      <c r="P661" s="138"/>
    </row>
    <row r="662">
      <c r="A662" s="138"/>
      <c r="B662" s="138"/>
      <c r="C662" s="138"/>
      <c r="D662" s="138"/>
      <c r="E662" s="138"/>
      <c r="F662" s="138"/>
      <c r="G662" s="138"/>
      <c r="H662" s="138"/>
      <c r="I662" s="138"/>
      <c r="J662" s="138"/>
      <c r="K662" s="138"/>
      <c r="L662" s="138"/>
      <c r="M662" s="138"/>
      <c r="N662" s="138"/>
      <c r="O662" s="138"/>
      <c r="P662" s="138"/>
    </row>
    <row r="663">
      <c r="A663" s="138"/>
      <c r="B663" s="138"/>
      <c r="C663" s="138"/>
      <c r="D663" s="138"/>
      <c r="E663" s="138"/>
      <c r="F663" s="138"/>
      <c r="G663" s="138"/>
      <c r="H663" s="138"/>
      <c r="I663" s="138"/>
      <c r="J663" s="138"/>
      <c r="K663" s="138"/>
      <c r="L663" s="138"/>
      <c r="M663" s="138"/>
      <c r="N663" s="138"/>
      <c r="O663" s="138"/>
      <c r="P663" s="138"/>
    </row>
    <row r="664">
      <c r="A664" s="138"/>
      <c r="B664" s="138"/>
      <c r="C664" s="138"/>
      <c r="D664" s="138"/>
      <c r="E664" s="138"/>
      <c r="F664" s="138"/>
      <c r="G664" s="138"/>
      <c r="H664" s="138"/>
      <c r="I664" s="138"/>
      <c r="J664" s="138"/>
      <c r="K664" s="138"/>
      <c r="L664" s="138"/>
      <c r="M664" s="138"/>
      <c r="N664" s="138"/>
      <c r="O664" s="138"/>
      <c r="P664" s="138"/>
    </row>
    <row r="665">
      <c r="A665" s="138"/>
      <c r="B665" s="138"/>
      <c r="C665" s="138"/>
      <c r="D665" s="138"/>
      <c r="E665" s="138"/>
      <c r="F665" s="138"/>
      <c r="G665" s="138"/>
      <c r="H665" s="138"/>
      <c r="I665" s="138"/>
      <c r="J665" s="138"/>
      <c r="K665" s="138"/>
      <c r="L665" s="138"/>
      <c r="M665" s="138"/>
      <c r="N665" s="138"/>
      <c r="O665" s="138"/>
      <c r="P665" s="138"/>
    </row>
    <row r="666">
      <c r="A666" s="138"/>
      <c r="B666" s="138"/>
      <c r="C666" s="138"/>
      <c r="D666" s="138"/>
      <c r="E666" s="138"/>
      <c r="F666" s="138"/>
      <c r="G666" s="138"/>
      <c r="H666" s="138"/>
      <c r="I666" s="138"/>
      <c r="J666" s="138"/>
      <c r="K666" s="138"/>
      <c r="L666" s="138"/>
      <c r="M666" s="138"/>
      <c r="N666" s="138"/>
      <c r="O666" s="138"/>
      <c r="P666" s="138"/>
    </row>
    <row r="667">
      <c r="A667" s="138"/>
      <c r="B667" s="138"/>
      <c r="C667" s="138"/>
      <c r="D667" s="138"/>
      <c r="E667" s="138"/>
      <c r="F667" s="138"/>
      <c r="G667" s="138"/>
      <c r="H667" s="138"/>
      <c r="I667" s="138"/>
      <c r="J667" s="138"/>
      <c r="K667" s="138"/>
      <c r="L667" s="138"/>
      <c r="M667" s="138"/>
      <c r="N667" s="138"/>
      <c r="O667" s="138"/>
      <c r="P667" s="138"/>
    </row>
    <row r="668">
      <c r="A668" s="138"/>
      <c r="B668" s="138"/>
      <c r="C668" s="138"/>
      <c r="D668" s="138"/>
      <c r="E668" s="138"/>
      <c r="F668" s="138"/>
      <c r="G668" s="138"/>
      <c r="H668" s="138"/>
      <c r="I668" s="138"/>
      <c r="J668" s="138"/>
      <c r="K668" s="138"/>
      <c r="L668" s="138"/>
      <c r="M668" s="138"/>
      <c r="N668" s="138"/>
      <c r="O668" s="138"/>
      <c r="P668" s="138"/>
    </row>
    <row r="669">
      <c r="A669" s="138"/>
      <c r="B669" s="138"/>
      <c r="C669" s="138"/>
      <c r="D669" s="138"/>
      <c r="E669" s="138"/>
      <c r="F669" s="138"/>
      <c r="G669" s="138"/>
      <c r="H669" s="138"/>
      <c r="I669" s="138"/>
      <c r="J669" s="138"/>
      <c r="K669" s="138"/>
      <c r="L669" s="138"/>
      <c r="M669" s="138"/>
      <c r="N669" s="138"/>
      <c r="O669" s="138"/>
      <c r="P669" s="138"/>
    </row>
    <row r="670">
      <c r="A670" s="138"/>
      <c r="B670" s="138"/>
      <c r="C670" s="138"/>
      <c r="D670" s="138"/>
      <c r="E670" s="138"/>
      <c r="F670" s="138"/>
      <c r="G670" s="138"/>
      <c r="H670" s="138"/>
      <c r="I670" s="138"/>
      <c r="J670" s="138"/>
      <c r="K670" s="138"/>
      <c r="L670" s="138"/>
      <c r="M670" s="138"/>
      <c r="N670" s="138"/>
      <c r="O670" s="138"/>
      <c r="P670" s="138"/>
    </row>
    <row r="671">
      <c r="A671" s="138"/>
      <c r="B671" s="138"/>
      <c r="C671" s="138"/>
      <c r="D671" s="138"/>
      <c r="E671" s="138"/>
      <c r="F671" s="138"/>
      <c r="G671" s="138"/>
      <c r="H671" s="138"/>
      <c r="I671" s="138"/>
      <c r="J671" s="138"/>
      <c r="K671" s="138"/>
      <c r="L671" s="138"/>
      <c r="M671" s="138"/>
      <c r="N671" s="138"/>
      <c r="O671" s="138"/>
      <c r="P671" s="138"/>
    </row>
    <row r="672">
      <c r="A672" s="138"/>
      <c r="B672" s="138"/>
      <c r="C672" s="138"/>
      <c r="D672" s="138"/>
      <c r="E672" s="138"/>
      <c r="F672" s="138"/>
      <c r="G672" s="138"/>
      <c r="H672" s="138"/>
      <c r="I672" s="138"/>
      <c r="J672" s="138"/>
      <c r="K672" s="138"/>
      <c r="L672" s="138"/>
      <c r="M672" s="138"/>
      <c r="N672" s="138"/>
      <c r="O672" s="138"/>
      <c r="P672" s="138"/>
    </row>
    <row r="673">
      <c r="A673" s="138"/>
      <c r="B673" s="138"/>
      <c r="C673" s="138"/>
      <c r="D673" s="138"/>
      <c r="E673" s="138"/>
      <c r="F673" s="138"/>
      <c r="G673" s="138"/>
      <c r="H673" s="138"/>
      <c r="I673" s="138"/>
      <c r="J673" s="138"/>
      <c r="K673" s="138"/>
      <c r="L673" s="138"/>
      <c r="M673" s="138"/>
      <c r="N673" s="138"/>
      <c r="O673" s="138"/>
      <c r="P673" s="138"/>
    </row>
    <row r="674">
      <c r="A674" s="138"/>
      <c r="B674" s="138"/>
      <c r="C674" s="138"/>
      <c r="D674" s="138"/>
      <c r="E674" s="138"/>
      <c r="F674" s="138"/>
      <c r="G674" s="138"/>
      <c r="H674" s="138"/>
      <c r="I674" s="138"/>
      <c r="J674" s="138"/>
      <c r="K674" s="138"/>
      <c r="L674" s="138"/>
      <c r="M674" s="138"/>
      <c r="N674" s="138"/>
      <c r="O674" s="138"/>
      <c r="P674" s="138"/>
    </row>
    <row r="675">
      <c r="A675" s="138"/>
      <c r="B675" s="138"/>
      <c r="C675" s="138"/>
      <c r="D675" s="138"/>
      <c r="E675" s="138"/>
      <c r="F675" s="138"/>
      <c r="G675" s="138"/>
      <c r="H675" s="138"/>
      <c r="I675" s="138"/>
      <c r="J675" s="138"/>
      <c r="K675" s="138"/>
      <c r="L675" s="138"/>
      <c r="M675" s="138"/>
      <c r="N675" s="138"/>
      <c r="O675" s="138"/>
      <c r="P675" s="138"/>
    </row>
    <row r="676">
      <c r="A676" s="138"/>
      <c r="B676" s="138"/>
      <c r="C676" s="138"/>
      <c r="D676" s="138"/>
      <c r="E676" s="138"/>
      <c r="F676" s="138"/>
      <c r="G676" s="138"/>
      <c r="H676" s="138"/>
      <c r="I676" s="138"/>
      <c r="J676" s="138"/>
      <c r="K676" s="138"/>
      <c r="L676" s="138"/>
      <c r="M676" s="138"/>
      <c r="N676" s="138"/>
      <c r="O676" s="138"/>
      <c r="P676" s="138"/>
    </row>
    <row r="677">
      <c r="A677" s="138"/>
      <c r="B677" s="138"/>
      <c r="C677" s="138"/>
      <c r="D677" s="138"/>
      <c r="E677" s="138"/>
      <c r="F677" s="138"/>
      <c r="G677" s="138"/>
      <c r="H677" s="138"/>
      <c r="I677" s="138"/>
      <c r="J677" s="138"/>
      <c r="K677" s="138"/>
      <c r="L677" s="138"/>
      <c r="M677" s="138"/>
      <c r="N677" s="138"/>
      <c r="O677" s="138"/>
      <c r="P677" s="138"/>
    </row>
    <row r="678">
      <c r="A678" s="138"/>
      <c r="B678" s="138"/>
      <c r="C678" s="138"/>
      <c r="D678" s="138"/>
      <c r="E678" s="138"/>
      <c r="F678" s="138"/>
      <c r="G678" s="138"/>
      <c r="H678" s="138"/>
      <c r="I678" s="138"/>
      <c r="J678" s="138"/>
      <c r="K678" s="138"/>
      <c r="L678" s="138"/>
      <c r="M678" s="138"/>
      <c r="N678" s="138"/>
      <c r="O678" s="138"/>
      <c r="P678" s="138"/>
    </row>
    <row r="679">
      <c r="A679" s="138"/>
      <c r="B679" s="138"/>
      <c r="C679" s="138"/>
      <c r="D679" s="138"/>
      <c r="E679" s="138"/>
      <c r="F679" s="138"/>
      <c r="G679" s="138"/>
      <c r="H679" s="138"/>
      <c r="I679" s="138"/>
      <c r="J679" s="138"/>
      <c r="K679" s="138"/>
      <c r="L679" s="138"/>
      <c r="M679" s="138"/>
      <c r="N679" s="138"/>
      <c r="O679" s="138"/>
      <c r="P679" s="138"/>
    </row>
    <row r="680">
      <c r="A680" s="138"/>
      <c r="B680" s="138"/>
      <c r="C680" s="138"/>
      <c r="D680" s="138"/>
      <c r="E680" s="138"/>
      <c r="F680" s="138"/>
      <c r="G680" s="138"/>
      <c r="H680" s="138"/>
      <c r="I680" s="138"/>
      <c r="J680" s="138"/>
      <c r="K680" s="138"/>
      <c r="L680" s="138"/>
      <c r="M680" s="138"/>
      <c r="N680" s="138"/>
      <c r="O680" s="138"/>
      <c r="P680" s="138"/>
    </row>
    <row r="681">
      <c r="A681" s="138"/>
      <c r="B681" s="138"/>
      <c r="C681" s="138"/>
      <c r="D681" s="138"/>
      <c r="E681" s="138"/>
      <c r="F681" s="138"/>
      <c r="G681" s="138"/>
      <c r="H681" s="138"/>
      <c r="I681" s="138"/>
      <c r="J681" s="138"/>
      <c r="K681" s="138"/>
      <c r="L681" s="138"/>
      <c r="M681" s="138"/>
      <c r="N681" s="138"/>
      <c r="O681" s="138"/>
      <c r="P681" s="138"/>
    </row>
    <row r="682">
      <c r="A682" s="138"/>
      <c r="B682" s="138"/>
      <c r="C682" s="138"/>
      <c r="D682" s="138"/>
      <c r="E682" s="138"/>
      <c r="F682" s="138"/>
      <c r="G682" s="138"/>
      <c r="H682" s="138"/>
      <c r="I682" s="138"/>
      <c r="J682" s="138"/>
      <c r="K682" s="138"/>
      <c r="L682" s="138"/>
      <c r="M682" s="138"/>
      <c r="N682" s="138"/>
      <c r="O682" s="138"/>
      <c r="P682" s="138"/>
    </row>
    <row r="683">
      <c r="A683" s="138"/>
      <c r="B683" s="138"/>
      <c r="C683" s="138"/>
      <c r="D683" s="138"/>
      <c r="E683" s="138"/>
      <c r="F683" s="138"/>
      <c r="G683" s="138"/>
      <c r="H683" s="138"/>
      <c r="I683" s="138"/>
      <c r="J683" s="138"/>
      <c r="K683" s="138"/>
      <c r="L683" s="138"/>
      <c r="M683" s="138"/>
      <c r="N683" s="138"/>
      <c r="O683" s="138"/>
      <c r="P683" s="138"/>
    </row>
    <row r="684">
      <c r="A684" s="138"/>
      <c r="B684" s="138"/>
      <c r="C684" s="138"/>
      <c r="D684" s="138"/>
      <c r="E684" s="138"/>
      <c r="F684" s="138"/>
      <c r="G684" s="138"/>
      <c r="H684" s="138"/>
      <c r="I684" s="138"/>
      <c r="J684" s="138"/>
      <c r="K684" s="138"/>
      <c r="L684" s="138"/>
      <c r="M684" s="138"/>
      <c r="N684" s="138"/>
      <c r="O684" s="138"/>
      <c r="P684" s="138"/>
    </row>
    <row r="685">
      <c r="A685" s="138"/>
      <c r="B685" s="138"/>
      <c r="C685" s="138"/>
      <c r="D685" s="138"/>
      <c r="E685" s="138"/>
      <c r="F685" s="138"/>
      <c r="G685" s="138"/>
      <c r="H685" s="138"/>
      <c r="I685" s="138"/>
      <c r="J685" s="138"/>
      <c r="K685" s="138"/>
      <c r="L685" s="138"/>
      <c r="M685" s="138"/>
      <c r="N685" s="138"/>
      <c r="O685" s="138"/>
      <c r="P685" s="138"/>
    </row>
    <row r="686">
      <c r="A686" s="138"/>
      <c r="B686" s="138"/>
      <c r="C686" s="138"/>
      <c r="D686" s="138"/>
      <c r="E686" s="138"/>
      <c r="F686" s="138"/>
      <c r="G686" s="138"/>
      <c r="H686" s="138"/>
      <c r="I686" s="138"/>
      <c r="J686" s="138"/>
      <c r="K686" s="138"/>
      <c r="L686" s="138"/>
      <c r="M686" s="138"/>
      <c r="N686" s="138"/>
      <c r="O686" s="138"/>
      <c r="P686" s="138"/>
    </row>
    <row r="687">
      <c r="A687" s="138"/>
      <c r="B687" s="138"/>
      <c r="C687" s="138"/>
      <c r="D687" s="138"/>
      <c r="E687" s="138"/>
      <c r="F687" s="138"/>
      <c r="G687" s="138"/>
      <c r="H687" s="138"/>
      <c r="I687" s="138"/>
      <c r="J687" s="138"/>
      <c r="K687" s="138"/>
      <c r="L687" s="138"/>
      <c r="M687" s="138"/>
      <c r="N687" s="138"/>
      <c r="O687" s="138"/>
      <c r="P687" s="138"/>
    </row>
    <row r="688">
      <c r="A688" s="138"/>
      <c r="B688" s="138"/>
      <c r="C688" s="138"/>
      <c r="D688" s="138"/>
      <c r="E688" s="138"/>
      <c r="F688" s="138"/>
      <c r="G688" s="138"/>
      <c r="H688" s="138"/>
      <c r="I688" s="138"/>
      <c r="J688" s="138"/>
      <c r="K688" s="138"/>
      <c r="L688" s="138"/>
      <c r="M688" s="138"/>
      <c r="N688" s="138"/>
      <c r="O688" s="138"/>
      <c r="P688" s="138"/>
    </row>
    <row r="689">
      <c r="A689" s="138"/>
      <c r="B689" s="138"/>
      <c r="C689" s="138"/>
      <c r="D689" s="138"/>
      <c r="E689" s="138"/>
      <c r="F689" s="138"/>
      <c r="G689" s="138"/>
      <c r="H689" s="138"/>
      <c r="I689" s="138"/>
      <c r="J689" s="138"/>
      <c r="K689" s="138"/>
      <c r="L689" s="138"/>
      <c r="M689" s="138"/>
      <c r="N689" s="138"/>
      <c r="O689" s="138"/>
      <c r="P689" s="138"/>
    </row>
    <row r="690">
      <c r="A690" s="138"/>
      <c r="B690" s="138"/>
      <c r="C690" s="138"/>
      <c r="D690" s="138"/>
      <c r="E690" s="138"/>
      <c r="F690" s="138"/>
      <c r="G690" s="138"/>
      <c r="H690" s="138"/>
      <c r="I690" s="138"/>
      <c r="J690" s="138"/>
      <c r="K690" s="138"/>
      <c r="L690" s="138"/>
      <c r="M690" s="138"/>
      <c r="N690" s="138"/>
      <c r="O690" s="138"/>
      <c r="P690" s="138"/>
    </row>
    <row r="691">
      <c r="A691" s="138"/>
      <c r="B691" s="138"/>
      <c r="C691" s="138"/>
      <c r="D691" s="138"/>
      <c r="E691" s="138"/>
      <c r="F691" s="138"/>
      <c r="G691" s="138"/>
      <c r="H691" s="138"/>
      <c r="I691" s="138"/>
      <c r="J691" s="138"/>
      <c r="K691" s="138"/>
      <c r="L691" s="138"/>
      <c r="M691" s="138"/>
      <c r="N691" s="138"/>
      <c r="O691" s="138"/>
      <c r="P691" s="138"/>
    </row>
    <row r="692">
      <c r="A692" s="138"/>
      <c r="B692" s="138"/>
      <c r="C692" s="138"/>
      <c r="D692" s="138"/>
      <c r="E692" s="138"/>
      <c r="F692" s="138"/>
      <c r="G692" s="138"/>
      <c r="H692" s="138"/>
      <c r="I692" s="138"/>
      <c r="J692" s="138"/>
      <c r="K692" s="138"/>
      <c r="L692" s="138"/>
      <c r="M692" s="138"/>
      <c r="N692" s="138"/>
      <c r="O692" s="138"/>
      <c r="P692" s="138"/>
    </row>
    <row r="693">
      <c r="A693" s="138"/>
      <c r="B693" s="138"/>
      <c r="C693" s="138"/>
      <c r="D693" s="138"/>
      <c r="E693" s="138"/>
      <c r="F693" s="138"/>
      <c r="G693" s="138"/>
      <c r="H693" s="138"/>
      <c r="I693" s="138"/>
      <c r="J693" s="138"/>
      <c r="K693" s="138"/>
      <c r="L693" s="138"/>
      <c r="M693" s="138"/>
      <c r="N693" s="138"/>
      <c r="O693" s="138"/>
      <c r="P693" s="138"/>
    </row>
    <row r="694">
      <c r="A694" s="138"/>
      <c r="B694" s="138"/>
      <c r="C694" s="138"/>
      <c r="D694" s="138"/>
      <c r="E694" s="138"/>
      <c r="F694" s="138"/>
      <c r="G694" s="138"/>
      <c r="H694" s="138"/>
      <c r="I694" s="138"/>
      <c r="J694" s="138"/>
      <c r="K694" s="138"/>
      <c r="L694" s="138"/>
      <c r="M694" s="138"/>
      <c r="N694" s="138"/>
      <c r="O694" s="138"/>
      <c r="P694" s="138"/>
    </row>
    <row r="695">
      <c r="A695" s="138"/>
      <c r="B695" s="138"/>
      <c r="C695" s="138"/>
      <c r="D695" s="138"/>
      <c r="E695" s="138"/>
      <c r="F695" s="138"/>
      <c r="G695" s="138"/>
      <c r="H695" s="138"/>
      <c r="I695" s="138"/>
      <c r="J695" s="138"/>
      <c r="K695" s="138"/>
      <c r="L695" s="138"/>
      <c r="M695" s="138"/>
      <c r="N695" s="138"/>
      <c r="O695" s="138"/>
      <c r="P695" s="138"/>
    </row>
    <row r="696">
      <c r="A696" s="138"/>
      <c r="B696" s="138"/>
      <c r="C696" s="138"/>
      <c r="D696" s="138"/>
      <c r="E696" s="138"/>
      <c r="F696" s="138"/>
      <c r="G696" s="138"/>
      <c r="H696" s="138"/>
      <c r="I696" s="138"/>
      <c r="J696" s="138"/>
      <c r="K696" s="138"/>
      <c r="L696" s="138"/>
      <c r="M696" s="138"/>
      <c r="N696" s="138"/>
      <c r="O696" s="138"/>
      <c r="P696" s="138"/>
    </row>
    <row r="697">
      <c r="A697" s="138"/>
      <c r="B697" s="138"/>
      <c r="C697" s="138"/>
      <c r="D697" s="138"/>
      <c r="E697" s="138"/>
      <c r="F697" s="138"/>
      <c r="G697" s="138"/>
      <c r="H697" s="138"/>
      <c r="I697" s="138"/>
      <c r="J697" s="138"/>
      <c r="K697" s="138"/>
      <c r="L697" s="138"/>
      <c r="M697" s="138"/>
      <c r="N697" s="138"/>
      <c r="O697" s="138"/>
      <c r="P697" s="138"/>
    </row>
    <row r="698">
      <c r="A698" s="138"/>
      <c r="B698" s="138"/>
      <c r="C698" s="138"/>
      <c r="D698" s="138"/>
      <c r="E698" s="138"/>
      <c r="F698" s="138"/>
      <c r="G698" s="138"/>
      <c r="H698" s="138"/>
      <c r="I698" s="138"/>
      <c r="J698" s="138"/>
      <c r="K698" s="138"/>
      <c r="L698" s="138"/>
      <c r="M698" s="138"/>
      <c r="N698" s="138"/>
      <c r="O698" s="138"/>
      <c r="P698" s="138"/>
    </row>
    <row r="699">
      <c r="A699" s="138"/>
      <c r="B699" s="138"/>
      <c r="C699" s="138"/>
      <c r="D699" s="138"/>
      <c r="E699" s="138"/>
      <c r="F699" s="138"/>
      <c r="G699" s="138"/>
      <c r="H699" s="138"/>
      <c r="I699" s="138"/>
      <c r="J699" s="138"/>
      <c r="K699" s="138"/>
      <c r="L699" s="138"/>
      <c r="M699" s="138"/>
      <c r="N699" s="138"/>
      <c r="O699" s="138"/>
      <c r="P699" s="138"/>
    </row>
    <row r="700">
      <c r="A700" s="138"/>
      <c r="B700" s="138"/>
      <c r="C700" s="138"/>
      <c r="D700" s="138"/>
      <c r="E700" s="138"/>
      <c r="F700" s="138"/>
      <c r="G700" s="138"/>
      <c r="H700" s="138"/>
      <c r="I700" s="138"/>
      <c r="J700" s="138"/>
      <c r="K700" s="138"/>
      <c r="L700" s="138"/>
      <c r="M700" s="138"/>
      <c r="N700" s="138"/>
      <c r="O700" s="138"/>
      <c r="P700" s="138"/>
    </row>
    <row r="701">
      <c r="A701" s="138"/>
      <c r="B701" s="138"/>
      <c r="C701" s="138"/>
      <c r="D701" s="138"/>
      <c r="E701" s="138"/>
      <c r="F701" s="138"/>
      <c r="G701" s="138"/>
      <c r="H701" s="138"/>
      <c r="I701" s="138"/>
      <c r="J701" s="138"/>
      <c r="K701" s="138"/>
      <c r="L701" s="138"/>
      <c r="M701" s="138"/>
      <c r="N701" s="138"/>
      <c r="O701" s="138"/>
      <c r="P701" s="138"/>
    </row>
    <row r="702">
      <c r="A702" s="138"/>
      <c r="B702" s="138"/>
      <c r="C702" s="138"/>
      <c r="D702" s="138"/>
      <c r="E702" s="138"/>
      <c r="F702" s="138"/>
      <c r="G702" s="138"/>
      <c r="H702" s="138"/>
      <c r="I702" s="138"/>
      <c r="J702" s="138"/>
      <c r="K702" s="138"/>
      <c r="L702" s="138"/>
      <c r="M702" s="138"/>
      <c r="N702" s="138"/>
      <c r="O702" s="138"/>
      <c r="P702" s="138"/>
    </row>
    <row r="703">
      <c r="A703" s="138"/>
      <c r="B703" s="138"/>
      <c r="C703" s="138"/>
      <c r="D703" s="138"/>
      <c r="E703" s="138"/>
      <c r="F703" s="138"/>
      <c r="G703" s="138"/>
      <c r="H703" s="138"/>
      <c r="I703" s="138"/>
      <c r="J703" s="138"/>
      <c r="K703" s="138"/>
      <c r="L703" s="138"/>
      <c r="M703" s="138"/>
      <c r="N703" s="138"/>
      <c r="O703" s="138"/>
      <c r="P703" s="138"/>
    </row>
    <row r="704">
      <c r="A704" s="138"/>
      <c r="B704" s="138"/>
      <c r="C704" s="138"/>
      <c r="D704" s="138"/>
      <c r="E704" s="138"/>
      <c r="F704" s="138"/>
      <c r="G704" s="138"/>
      <c r="H704" s="138"/>
      <c r="I704" s="138"/>
      <c r="J704" s="138"/>
      <c r="K704" s="138"/>
      <c r="L704" s="138"/>
      <c r="M704" s="138"/>
      <c r="N704" s="138"/>
      <c r="O704" s="138"/>
      <c r="P704" s="138"/>
    </row>
    <row r="705">
      <c r="A705" s="138"/>
      <c r="B705" s="138"/>
      <c r="C705" s="138"/>
      <c r="D705" s="138"/>
      <c r="E705" s="138"/>
      <c r="F705" s="138"/>
      <c r="G705" s="138"/>
      <c r="H705" s="138"/>
      <c r="I705" s="138"/>
      <c r="J705" s="138"/>
      <c r="K705" s="138"/>
      <c r="L705" s="138"/>
      <c r="M705" s="138"/>
      <c r="N705" s="138"/>
      <c r="O705" s="138"/>
      <c r="P705" s="138"/>
    </row>
    <row r="706">
      <c r="A706" s="138"/>
      <c r="B706" s="138"/>
      <c r="C706" s="138"/>
      <c r="D706" s="138"/>
      <c r="E706" s="138"/>
      <c r="F706" s="138"/>
      <c r="G706" s="138"/>
      <c r="H706" s="138"/>
      <c r="I706" s="138"/>
      <c r="J706" s="138"/>
      <c r="K706" s="138"/>
      <c r="L706" s="138"/>
      <c r="M706" s="138"/>
      <c r="N706" s="138"/>
      <c r="O706" s="138"/>
      <c r="P706" s="138"/>
    </row>
    <row r="707">
      <c r="A707" s="138"/>
      <c r="B707" s="138"/>
      <c r="C707" s="138"/>
      <c r="D707" s="138"/>
      <c r="E707" s="138"/>
      <c r="F707" s="138"/>
      <c r="G707" s="138"/>
      <c r="H707" s="138"/>
      <c r="I707" s="138"/>
      <c r="J707" s="138"/>
      <c r="K707" s="138"/>
      <c r="L707" s="138"/>
      <c r="M707" s="138"/>
      <c r="N707" s="138"/>
      <c r="O707" s="138"/>
      <c r="P707" s="138"/>
    </row>
    <row r="708">
      <c r="A708" s="138"/>
      <c r="B708" s="138"/>
      <c r="C708" s="138"/>
      <c r="D708" s="138"/>
      <c r="E708" s="138"/>
      <c r="F708" s="138"/>
      <c r="G708" s="138"/>
      <c r="H708" s="138"/>
      <c r="I708" s="138"/>
      <c r="J708" s="138"/>
      <c r="K708" s="138"/>
      <c r="L708" s="138"/>
      <c r="M708" s="138"/>
      <c r="N708" s="138"/>
      <c r="O708" s="138"/>
      <c r="P708" s="138"/>
    </row>
    <row r="709">
      <c r="A709" s="138"/>
      <c r="B709" s="138"/>
      <c r="C709" s="138"/>
      <c r="D709" s="138"/>
      <c r="E709" s="138"/>
      <c r="F709" s="138"/>
      <c r="G709" s="138"/>
      <c r="H709" s="138"/>
      <c r="I709" s="138"/>
      <c r="J709" s="138"/>
      <c r="K709" s="138"/>
      <c r="L709" s="138"/>
      <c r="M709" s="138"/>
      <c r="N709" s="138"/>
      <c r="O709" s="138"/>
      <c r="P709" s="138"/>
    </row>
    <row r="710">
      <c r="A710" s="138"/>
      <c r="B710" s="138"/>
      <c r="C710" s="138"/>
      <c r="D710" s="138"/>
      <c r="E710" s="138"/>
      <c r="F710" s="138"/>
      <c r="G710" s="138"/>
      <c r="H710" s="138"/>
      <c r="I710" s="138"/>
      <c r="J710" s="138"/>
      <c r="K710" s="138"/>
      <c r="L710" s="138"/>
      <c r="M710" s="138"/>
      <c r="N710" s="138"/>
      <c r="O710" s="138"/>
      <c r="P710" s="138"/>
    </row>
    <row r="711">
      <c r="A711" s="138"/>
      <c r="B711" s="138"/>
      <c r="C711" s="138"/>
      <c r="D711" s="138"/>
      <c r="E711" s="138"/>
      <c r="F711" s="138"/>
      <c r="G711" s="138"/>
      <c r="H711" s="138"/>
      <c r="I711" s="138"/>
      <c r="J711" s="138"/>
      <c r="K711" s="138"/>
      <c r="L711" s="138"/>
      <c r="M711" s="138"/>
      <c r="N711" s="138"/>
      <c r="O711" s="138"/>
      <c r="P711" s="138"/>
    </row>
    <row r="712">
      <c r="A712" s="138"/>
      <c r="B712" s="138"/>
      <c r="C712" s="138"/>
      <c r="D712" s="138"/>
      <c r="E712" s="138"/>
      <c r="F712" s="138"/>
      <c r="G712" s="138"/>
      <c r="H712" s="138"/>
      <c r="I712" s="138"/>
      <c r="J712" s="138"/>
      <c r="K712" s="138"/>
      <c r="L712" s="138"/>
      <c r="M712" s="138"/>
      <c r="N712" s="138"/>
      <c r="O712" s="138"/>
      <c r="P712" s="138"/>
    </row>
    <row r="713">
      <c r="A713" s="138"/>
      <c r="B713" s="138"/>
      <c r="C713" s="138"/>
      <c r="D713" s="138"/>
      <c r="E713" s="138"/>
      <c r="F713" s="138"/>
      <c r="G713" s="138"/>
      <c r="H713" s="138"/>
      <c r="I713" s="138"/>
      <c r="J713" s="138"/>
      <c r="K713" s="138"/>
      <c r="L713" s="138"/>
      <c r="M713" s="138"/>
      <c r="N713" s="138"/>
      <c r="O713" s="138"/>
      <c r="P713" s="138"/>
    </row>
    <row r="714">
      <c r="A714" s="138"/>
      <c r="B714" s="138"/>
      <c r="C714" s="138"/>
      <c r="D714" s="138"/>
      <c r="E714" s="138"/>
      <c r="F714" s="138"/>
      <c r="G714" s="138"/>
      <c r="H714" s="138"/>
      <c r="I714" s="138"/>
      <c r="J714" s="138"/>
      <c r="K714" s="138"/>
      <c r="L714" s="138"/>
      <c r="M714" s="138"/>
      <c r="N714" s="138"/>
      <c r="O714" s="138"/>
      <c r="P714" s="138"/>
    </row>
    <row r="715">
      <c r="A715" s="138"/>
      <c r="B715" s="138"/>
      <c r="C715" s="138"/>
      <c r="D715" s="138"/>
      <c r="E715" s="138"/>
      <c r="F715" s="138"/>
      <c r="G715" s="138"/>
      <c r="H715" s="138"/>
      <c r="I715" s="138"/>
      <c r="J715" s="138"/>
      <c r="K715" s="138"/>
      <c r="L715" s="138"/>
      <c r="M715" s="138"/>
      <c r="N715" s="138"/>
      <c r="O715" s="138"/>
      <c r="P715" s="138"/>
    </row>
    <row r="716">
      <c r="A716" s="138"/>
      <c r="B716" s="138"/>
      <c r="C716" s="138"/>
      <c r="D716" s="138"/>
      <c r="E716" s="138"/>
      <c r="F716" s="138"/>
      <c r="G716" s="138"/>
      <c r="H716" s="138"/>
      <c r="I716" s="138"/>
      <c r="J716" s="138"/>
      <c r="K716" s="138"/>
      <c r="L716" s="138"/>
      <c r="M716" s="138"/>
      <c r="N716" s="138"/>
      <c r="O716" s="138"/>
      <c r="P716" s="138"/>
    </row>
    <row r="717">
      <c r="A717" s="138"/>
      <c r="B717" s="138"/>
      <c r="C717" s="138"/>
      <c r="D717" s="138"/>
      <c r="E717" s="138"/>
      <c r="F717" s="138"/>
      <c r="G717" s="138"/>
      <c r="H717" s="138"/>
      <c r="I717" s="138"/>
      <c r="J717" s="138"/>
      <c r="K717" s="138"/>
      <c r="L717" s="138"/>
      <c r="M717" s="138"/>
      <c r="N717" s="138"/>
      <c r="O717" s="138"/>
      <c r="P717" s="138"/>
    </row>
    <row r="718">
      <c r="A718" s="138"/>
      <c r="B718" s="138"/>
      <c r="C718" s="138"/>
      <c r="D718" s="138"/>
      <c r="E718" s="138"/>
      <c r="F718" s="138"/>
      <c r="G718" s="138"/>
      <c r="H718" s="138"/>
      <c r="I718" s="138"/>
      <c r="J718" s="138"/>
      <c r="K718" s="138"/>
      <c r="L718" s="138"/>
      <c r="M718" s="138"/>
      <c r="N718" s="138"/>
      <c r="O718" s="138"/>
      <c r="P718" s="138"/>
    </row>
    <row r="719">
      <c r="A719" s="138"/>
      <c r="B719" s="138"/>
      <c r="C719" s="138"/>
      <c r="D719" s="138"/>
      <c r="E719" s="138"/>
      <c r="F719" s="138"/>
      <c r="G719" s="138"/>
      <c r="H719" s="138"/>
      <c r="I719" s="138"/>
      <c r="J719" s="138"/>
      <c r="K719" s="138"/>
      <c r="L719" s="138"/>
      <c r="M719" s="138"/>
      <c r="N719" s="138"/>
      <c r="O719" s="138"/>
      <c r="P719" s="138"/>
    </row>
    <row r="720">
      <c r="A720" s="138"/>
      <c r="B720" s="138"/>
      <c r="C720" s="138"/>
      <c r="D720" s="138"/>
      <c r="E720" s="138"/>
      <c r="F720" s="138"/>
      <c r="G720" s="138"/>
      <c r="H720" s="138"/>
      <c r="I720" s="138"/>
      <c r="J720" s="138"/>
      <c r="K720" s="138"/>
      <c r="L720" s="138"/>
      <c r="M720" s="138"/>
      <c r="N720" s="138"/>
      <c r="O720" s="138"/>
      <c r="P720" s="138"/>
    </row>
    <row r="721">
      <c r="A721" s="138"/>
      <c r="B721" s="138"/>
      <c r="C721" s="138"/>
      <c r="D721" s="138"/>
      <c r="E721" s="138"/>
      <c r="F721" s="138"/>
      <c r="G721" s="138"/>
      <c r="H721" s="138"/>
      <c r="I721" s="138"/>
      <c r="J721" s="138"/>
      <c r="K721" s="138"/>
      <c r="L721" s="138"/>
      <c r="M721" s="138"/>
      <c r="N721" s="138"/>
      <c r="O721" s="138"/>
      <c r="P721" s="138"/>
    </row>
    <row r="722">
      <c r="A722" s="138"/>
      <c r="B722" s="138"/>
      <c r="C722" s="138"/>
      <c r="D722" s="138"/>
      <c r="E722" s="138"/>
      <c r="F722" s="138"/>
      <c r="G722" s="138"/>
      <c r="H722" s="138"/>
      <c r="I722" s="138"/>
      <c r="J722" s="138"/>
      <c r="K722" s="138"/>
      <c r="L722" s="138"/>
      <c r="M722" s="138"/>
      <c r="N722" s="138"/>
      <c r="O722" s="138"/>
      <c r="P722" s="138"/>
    </row>
    <row r="723">
      <c r="A723" s="138"/>
      <c r="B723" s="138"/>
      <c r="C723" s="138"/>
      <c r="D723" s="138"/>
      <c r="E723" s="138"/>
      <c r="F723" s="138"/>
      <c r="G723" s="138"/>
      <c r="H723" s="138"/>
      <c r="I723" s="138"/>
      <c r="J723" s="138"/>
      <c r="K723" s="138"/>
      <c r="L723" s="138"/>
      <c r="M723" s="138"/>
      <c r="N723" s="138"/>
      <c r="O723" s="138"/>
      <c r="P723" s="138"/>
    </row>
    <row r="724">
      <c r="A724" s="138"/>
      <c r="B724" s="138"/>
      <c r="C724" s="138"/>
      <c r="D724" s="138"/>
      <c r="E724" s="138"/>
      <c r="F724" s="138"/>
      <c r="G724" s="138"/>
      <c r="H724" s="138"/>
      <c r="I724" s="138"/>
      <c r="J724" s="138"/>
      <c r="K724" s="138"/>
      <c r="L724" s="138"/>
      <c r="M724" s="138"/>
      <c r="N724" s="138"/>
      <c r="O724" s="138"/>
      <c r="P724" s="138"/>
    </row>
    <row r="725">
      <c r="A725" s="138"/>
      <c r="B725" s="138"/>
      <c r="C725" s="138"/>
      <c r="D725" s="138"/>
      <c r="E725" s="138"/>
      <c r="F725" s="138"/>
      <c r="G725" s="138"/>
      <c r="H725" s="138"/>
      <c r="I725" s="138"/>
      <c r="J725" s="138"/>
      <c r="K725" s="138"/>
      <c r="L725" s="138"/>
      <c r="M725" s="138"/>
      <c r="N725" s="138"/>
      <c r="O725" s="138"/>
      <c r="P725" s="138"/>
    </row>
    <row r="726">
      <c r="A726" s="138"/>
      <c r="B726" s="138"/>
      <c r="C726" s="138"/>
      <c r="D726" s="138"/>
      <c r="E726" s="138"/>
      <c r="F726" s="138"/>
      <c r="G726" s="138"/>
      <c r="H726" s="138"/>
      <c r="I726" s="138"/>
      <c r="J726" s="138"/>
      <c r="K726" s="138"/>
      <c r="L726" s="138"/>
      <c r="M726" s="138"/>
      <c r="N726" s="138"/>
      <c r="O726" s="138"/>
      <c r="P726" s="138"/>
    </row>
    <row r="727">
      <c r="A727" s="138"/>
      <c r="B727" s="138"/>
      <c r="C727" s="138"/>
      <c r="D727" s="138"/>
      <c r="E727" s="138"/>
      <c r="F727" s="138"/>
      <c r="G727" s="138"/>
      <c r="H727" s="138"/>
      <c r="I727" s="138"/>
      <c r="J727" s="138"/>
      <c r="K727" s="138"/>
      <c r="L727" s="138"/>
      <c r="M727" s="138"/>
      <c r="N727" s="138"/>
      <c r="O727" s="138"/>
      <c r="P727" s="138"/>
    </row>
    <row r="728">
      <c r="A728" s="138"/>
      <c r="B728" s="138"/>
      <c r="C728" s="138"/>
      <c r="D728" s="138"/>
      <c r="E728" s="138"/>
      <c r="F728" s="138"/>
      <c r="G728" s="138"/>
      <c r="H728" s="138"/>
      <c r="I728" s="138"/>
      <c r="J728" s="138"/>
      <c r="K728" s="138"/>
      <c r="L728" s="138"/>
      <c r="M728" s="138"/>
      <c r="N728" s="138"/>
      <c r="O728" s="138"/>
      <c r="P728" s="138"/>
    </row>
    <row r="729">
      <c r="A729" s="138"/>
      <c r="B729" s="138"/>
      <c r="C729" s="138"/>
      <c r="D729" s="138"/>
      <c r="E729" s="138"/>
      <c r="F729" s="138"/>
      <c r="G729" s="138"/>
      <c r="H729" s="138"/>
      <c r="I729" s="138"/>
      <c r="J729" s="138"/>
      <c r="K729" s="138"/>
      <c r="L729" s="138"/>
      <c r="M729" s="138"/>
      <c r="N729" s="138"/>
      <c r="O729" s="138"/>
      <c r="P729" s="138"/>
    </row>
    <row r="730">
      <c r="A730" s="138"/>
      <c r="B730" s="138"/>
      <c r="C730" s="138"/>
      <c r="D730" s="138"/>
      <c r="E730" s="138"/>
      <c r="F730" s="138"/>
      <c r="G730" s="138"/>
      <c r="H730" s="138"/>
      <c r="I730" s="138"/>
      <c r="J730" s="138"/>
      <c r="K730" s="138"/>
      <c r="L730" s="138"/>
      <c r="M730" s="138"/>
      <c r="N730" s="138"/>
      <c r="O730" s="138"/>
      <c r="P730" s="138"/>
    </row>
    <row r="731">
      <c r="A731" s="138"/>
      <c r="B731" s="138"/>
      <c r="C731" s="138"/>
      <c r="D731" s="138"/>
      <c r="E731" s="138"/>
      <c r="F731" s="138"/>
      <c r="G731" s="138"/>
      <c r="H731" s="138"/>
      <c r="I731" s="138"/>
      <c r="J731" s="138"/>
      <c r="K731" s="138"/>
      <c r="L731" s="138"/>
      <c r="M731" s="138"/>
      <c r="N731" s="138"/>
      <c r="O731" s="138"/>
      <c r="P731" s="138"/>
    </row>
    <row r="732">
      <c r="A732" s="138"/>
      <c r="B732" s="138"/>
      <c r="C732" s="138"/>
      <c r="D732" s="138"/>
      <c r="E732" s="138"/>
      <c r="F732" s="138"/>
      <c r="G732" s="138"/>
      <c r="H732" s="138"/>
      <c r="I732" s="138"/>
      <c r="J732" s="138"/>
      <c r="K732" s="138"/>
      <c r="L732" s="138"/>
      <c r="M732" s="138"/>
      <c r="N732" s="138"/>
      <c r="O732" s="138"/>
      <c r="P732" s="138"/>
    </row>
    <row r="733">
      <c r="A733" s="138"/>
      <c r="B733" s="138"/>
      <c r="C733" s="138"/>
      <c r="D733" s="138"/>
      <c r="E733" s="138"/>
      <c r="F733" s="138"/>
      <c r="G733" s="138"/>
      <c r="H733" s="138"/>
      <c r="I733" s="138"/>
      <c r="J733" s="138"/>
      <c r="K733" s="138"/>
      <c r="L733" s="138"/>
      <c r="M733" s="138"/>
      <c r="N733" s="138"/>
      <c r="O733" s="138"/>
      <c r="P733" s="138"/>
    </row>
    <row r="734">
      <c r="A734" s="138"/>
      <c r="B734" s="138"/>
      <c r="C734" s="138"/>
      <c r="D734" s="138"/>
      <c r="E734" s="138"/>
      <c r="F734" s="138"/>
      <c r="G734" s="138"/>
      <c r="H734" s="138"/>
      <c r="I734" s="138"/>
      <c r="J734" s="138"/>
      <c r="K734" s="138"/>
      <c r="L734" s="138"/>
      <c r="M734" s="138"/>
      <c r="N734" s="138"/>
      <c r="O734" s="138"/>
      <c r="P734" s="138"/>
    </row>
    <row r="735">
      <c r="A735" s="138"/>
      <c r="B735" s="138"/>
      <c r="C735" s="138"/>
      <c r="D735" s="138"/>
      <c r="E735" s="138"/>
      <c r="F735" s="138"/>
      <c r="G735" s="138"/>
      <c r="H735" s="138"/>
      <c r="I735" s="138"/>
      <c r="J735" s="138"/>
      <c r="K735" s="138"/>
      <c r="L735" s="138"/>
      <c r="M735" s="138"/>
      <c r="N735" s="138"/>
      <c r="O735" s="138"/>
      <c r="P735" s="138"/>
    </row>
    <row r="736">
      <c r="A736" s="138"/>
      <c r="B736" s="138"/>
      <c r="C736" s="138"/>
      <c r="D736" s="138"/>
      <c r="E736" s="138"/>
      <c r="F736" s="138"/>
      <c r="G736" s="138"/>
      <c r="H736" s="138"/>
      <c r="I736" s="138"/>
      <c r="J736" s="138"/>
      <c r="K736" s="138"/>
      <c r="L736" s="138"/>
      <c r="M736" s="138"/>
      <c r="N736" s="138"/>
      <c r="O736" s="138"/>
      <c r="P736" s="138"/>
    </row>
    <row r="737">
      <c r="A737" s="138"/>
      <c r="B737" s="138"/>
      <c r="C737" s="138"/>
      <c r="D737" s="138"/>
      <c r="E737" s="138"/>
      <c r="F737" s="138"/>
      <c r="G737" s="138"/>
      <c r="H737" s="138"/>
      <c r="I737" s="138"/>
      <c r="J737" s="138"/>
      <c r="K737" s="138"/>
      <c r="L737" s="138"/>
      <c r="M737" s="138"/>
      <c r="N737" s="138"/>
      <c r="O737" s="138"/>
      <c r="P737" s="138"/>
    </row>
    <row r="738">
      <c r="A738" s="138"/>
      <c r="B738" s="138"/>
      <c r="C738" s="138"/>
      <c r="D738" s="138"/>
      <c r="E738" s="138"/>
      <c r="F738" s="138"/>
      <c r="G738" s="138"/>
      <c r="H738" s="138"/>
      <c r="I738" s="138"/>
      <c r="J738" s="138"/>
      <c r="K738" s="138"/>
      <c r="L738" s="138"/>
      <c r="M738" s="138"/>
      <c r="N738" s="138"/>
      <c r="O738" s="138"/>
      <c r="P738" s="138"/>
    </row>
    <row r="739">
      <c r="A739" s="138"/>
      <c r="B739" s="138"/>
      <c r="C739" s="138"/>
      <c r="D739" s="138"/>
      <c r="E739" s="138"/>
      <c r="F739" s="138"/>
      <c r="G739" s="138"/>
      <c r="H739" s="138"/>
      <c r="I739" s="138"/>
      <c r="J739" s="138"/>
      <c r="K739" s="138"/>
      <c r="L739" s="138"/>
      <c r="M739" s="138"/>
      <c r="N739" s="138"/>
      <c r="O739" s="138"/>
      <c r="P739" s="138"/>
    </row>
    <row r="740">
      <c r="A740" s="138"/>
      <c r="B740" s="138"/>
      <c r="C740" s="138"/>
      <c r="D740" s="138"/>
      <c r="E740" s="138"/>
      <c r="F740" s="138"/>
      <c r="G740" s="138"/>
      <c r="H740" s="138"/>
      <c r="I740" s="138"/>
      <c r="J740" s="138"/>
      <c r="K740" s="138"/>
      <c r="L740" s="138"/>
      <c r="M740" s="138"/>
      <c r="N740" s="138"/>
      <c r="O740" s="138"/>
      <c r="P740" s="138"/>
    </row>
    <row r="741">
      <c r="A741" s="138"/>
      <c r="B741" s="138"/>
      <c r="C741" s="138"/>
      <c r="D741" s="138"/>
      <c r="E741" s="138"/>
      <c r="F741" s="138"/>
      <c r="G741" s="138"/>
      <c r="H741" s="138"/>
      <c r="I741" s="138"/>
      <c r="J741" s="138"/>
      <c r="K741" s="138"/>
      <c r="L741" s="138"/>
      <c r="M741" s="138"/>
      <c r="N741" s="138"/>
      <c r="O741" s="138"/>
      <c r="P741" s="138"/>
    </row>
    <row r="742">
      <c r="A742" s="138"/>
      <c r="B742" s="138"/>
      <c r="C742" s="138"/>
      <c r="D742" s="138"/>
      <c r="E742" s="138"/>
      <c r="F742" s="138"/>
      <c r="G742" s="138"/>
      <c r="H742" s="138"/>
      <c r="I742" s="138"/>
      <c r="J742" s="138"/>
      <c r="K742" s="138"/>
      <c r="L742" s="138"/>
      <c r="M742" s="138"/>
      <c r="N742" s="138"/>
      <c r="O742" s="138"/>
      <c r="P742" s="138"/>
    </row>
    <row r="743">
      <c r="A743" s="138"/>
      <c r="B743" s="138"/>
      <c r="C743" s="138"/>
      <c r="D743" s="138"/>
      <c r="E743" s="138"/>
      <c r="F743" s="138"/>
      <c r="G743" s="138"/>
      <c r="H743" s="138"/>
      <c r="I743" s="138"/>
      <c r="J743" s="138"/>
      <c r="K743" s="138"/>
      <c r="L743" s="138"/>
      <c r="M743" s="138"/>
      <c r="N743" s="138"/>
      <c r="O743" s="138"/>
      <c r="P743" s="138"/>
    </row>
    <row r="744">
      <c r="A744" s="138"/>
      <c r="B744" s="138"/>
      <c r="C744" s="138"/>
      <c r="D744" s="138"/>
      <c r="E744" s="138"/>
      <c r="F744" s="138"/>
      <c r="G744" s="138"/>
      <c r="H744" s="138"/>
      <c r="I744" s="138"/>
      <c r="J744" s="138"/>
      <c r="K744" s="138"/>
      <c r="L744" s="138"/>
      <c r="M744" s="138"/>
      <c r="N744" s="138"/>
      <c r="O744" s="138"/>
      <c r="P744" s="138"/>
    </row>
    <row r="745">
      <c r="A745" s="138"/>
      <c r="B745" s="138"/>
      <c r="C745" s="138"/>
      <c r="D745" s="138"/>
      <c r="E745" s="138"/>
      <c r="F745" s="138"/>
      <c r="G745" s="138"/>
      <c r="H745" s="138"/>
      <c r="I745" s="138"/>
      <c r="J745" s="138"/>
      <c r="K745" s="138"/>
      <c r="L745" s="138"/>
      <c r="M745" s="138"/>
      <c r="N745" s="138"/>
      <c r="O745" s="138"/>
      <c r="P745" s="138"/>
    </row>
    <row r="746">
      <c r="A746" s="138"/>
      <c r="B746" s="138"/>
      <c r="C746" s="138"/>
      <c r="D746" s="138"/>
      <c r="E746" s="138"/>
      <c r="F746" s="138"/>
      <c r="G746" s="138"/>
      <c r="H746" s="138"/>
      <c r="I746" s="138"/>
      <c r="J746" s="138"/>
      <c r="K746" s="138"/>
      <c r="L746" s="138"/>
      <c r="M746" s="138"/>
      <c r="N746" s="138"/>
      <c r="O746" s="138"/>
      <c r="P746" s="138"/>
    </row>
    <row r="747">
      <c r="A747" s="138"/>
      <c r="B747" s="138"/>
      <c r="C747" s="138"/>
      <c r="D747" s="138"/>
      <c r="E747" s="138"/>
      <c r="F747" s="138"/>
      <c r="G747" s="138"/>
      <c r="H747" s="138"/>
      <c r="I747" s="138"/>
      <c r="J747" s="138"/>
      <c r="K747" s="138"/>
      <c r="L747" s="138"/>
      <c r="M747" s="138"/>
      <c r="N747" s="138"/>
      <c r="O747" s="138"/>
      <c r="P747" s="138"/>
    </row>
    <row r="748">
      <c r="A748" s="138"/>
      <c r="B748" s="138"/>
      <c r="C748" s="138"/>
      <c r="D748" s="138"/>
      <c r="E748" s="138"/>
      <c r="F748" s="138"/>
      <c r="G748" s="138"/>
      <c r="H748" s="138"/>
      <c r="I748" s="138"/>
      <c r="J748" s="138"/>
      <c r="K748" s="138"/>
      <c r="L748" s="138"/>
      <c r="M748" s="138"/>
      <c r="N748" s="138"/>
      <c r="O748" s="138"/>
      <c r="P748" s="138"/>
    </row>
    <row r="749">
      <c r="A749" s="138"/>
      <c r="B749" s="138"/>
      <c r="C749" s="138"/>
      <c r="D749" s="138"/>
      <c r="E749" s="138"/>
      <c r="F749" s="138"/>
      <c r="G749" s="138"/>
      <c r="H749" s="138"/>
      <c r="I749" s="138"/>
      <c r="J749" s="138"/>
      <c r="K749" s="138"/>
      <c r="L749" s="138"/>
      <c r="M749" s="138"/>
      <c r="N749" s="138"/>
      <c r="O749" s="138"/>
      <c r="P749" s="138"/>
    </row>
    <row r="750">
      <c r="A750" s="138"/>
      <c r="B750" s="138"/>
      <c r="C750" s="138"/>
      <c r="D750" s="138"/>
      <c r="E750" s="138"/>
      <c r="F750" s="138"/>
      <c r="G750" s="138"/>
      <c r="H750" s="138"/>
      <c r="I750" s="138"/>
      <c r="J750" s="138"/>
      <c r="K750" s="138"/>
      <c r="L750" s="138"/>
      <c r="M750" s="138"/>
      <c r="N750" s="138"/>
      <c r="O750" s="138"/>
      <c r="P750" s="138"/>
    </row>
    <row r="751">
      <c r="A751" s="138"/>
      <c r="B751" s="138"/>
      <c r="C751" s="138"/>
      <c r="D751" s="138"/>
      <c r="E751" s="138"/>
      <c r="F751" s="138"/>
      <c r="G751" s="138"/>
      <c r="H751" s="138"/>
      <c r="I751" s="138"/>
      <c r="J751" s="138"/>
      <c r="K751" s="138"/>
      <c r="L751" s="138"/>
      <c r="M751" s="138"/>
      <c r="N751" s="138"/>
      <c r="O751" s="138"/>
      <c r="P751" s="138"/>
    </row>
    <row r="752">
      <c r="A752" s="138"/>
      <c r="B752" s="138"/>
      <c r="C752" s="138"/>
      <c r="D752" s="138"/>
      <c r="E752" s="138"/>
      <c r="F752" s="138"/>
      <c r="G752" s="138"/>
      <c r="H752" s="138"/>
      <c r="I752" s="138"/>
      <c r="J752" s="138"/>
      <c r="K752" s="138"/>
      <c r="L752" s="138"/>
      <c r="M752" s="138"/>
      <c r="N752" s="138"/>
      <c r="O752" s="138"/>
      <c r="P752" s="138"/>
    </row>
    <row r="753">
      <c r="A753" s="138"/>
      <c r="B753" s="138"/>
      <c r="C753" s="138"/>
      <c r="D753" s="138"/>
      <c r="E753" s="138"/>
      <c r="F753" s="138"/>
      <c r="G753" s="138"/>
      <c r="H753" s="138"/>
      <c r="I753" s="138"/>
      <c r="J753" s="138"/>
      <c r="K753" s="138"/>
      <c r="L753" s="138"/>
      <c r="M753" s="138"/>
      <c r="N753" s="138"/>
      <c r="O753" s="138"/>
      <c r="P753" s="138"/>
    </row>
    <row r="754">
      <c r="A754" s="138"/>
      <c r="B754" s="138"/>
      <c r="C754" s="138"/>
      <c r="D754" s="138"/>
      <c r="E754" s="138"/>
      <c r="F754" s="138"/>
      <c r="G754" s="138"/>
      <c r="H754" s="138"/>
      <c r="I754" s="138"/>
      <c r="J754" s="138"/>
      <c r="K754" s="138"/>
      <c r="L754" s="138"/>
      <c r="M754" s="138"/>
      <c r="N754" s="138"/>
      <c r="O754" s="138"/>
      <c r="P754" s="138"/>
    </row>
    <row r="755">
      <c r="A755" s="138"/>
      <c r="B755" s="138"/>
      <c r="C755" s="138"/>
      <c r="D755" s="138"/>
      <c r="E755" s="138"/>
      <c r="F755" s="138"/>
      <c r="G755" s="138"/>
      <c r="H755" s="138"/>
      <c r="I755" s="138"/>
      <c r="J755" s="138"/>
      <c r="K755" s="138"/>
      <c r="L755" s="138"/>
      <c r="M755" s="138"/>
      <c r="N755" s="138"/>
      <c r="O755" s="138"/>
      <c r="P755" s="138"/>
    </row>
    <row r="756">
      <c r="A756" s="138"/>
      <c r="B756" s="138"/>
      <c r="C756" s="138"/>
      <c r="D756" s="138"/>
      <c r="E756" s="138"/>
      <c r="F756" s="138"/>
      <c r="G756" s="138"/>
      <c r="H756" s="138"/>
      <c r="I756" s="138"/>
      <c r="J756" s="138"/>
      <c r="K756" s="138"/>
      <c r="L756" s="138"/>
      <c r="M756" s="138"/>
      <c r="N756" s="138"/>
      <c r="O756" s="138"/>
      <c r="P756" s="138"/>
    </row>
    <row r="757">
      <c r="A757" s="138"/>
      <c r="B757" s="138"/>
      <c r="C757" s="138"/>
      <c r="D757" s="138"/>
      <c r="E757" s="138"/>
      <c r="F757" s="138"/>
      <c r="G757" s="138"/>
      <c r="H757" s="138"/>
      <c r="I757" s="138"/>
      <c r="J757" s="138"/>
      <c r="K757" s="138"/>
      <c r="L757" s="138"/>
      <c r="M757" s="138"/>
      <c r="N757" s="138"/>
      <c r="O757" s="138"/>
      <c r="P757" s="138"/>
    </row>
    <row r="758">
      <c r="A758" s="138"/>
      <c r="B758" s="138"/>
      <c r="C758" s="138"/>
      <c r="D758" s="138"/>
      <c r="E758" s="138"/>
      <c r="F758" s="138"/>
      <c r="G758" s="138"/>
      <c r="H758" s="138"/>
      <c r="I758" s="138"/>
      <c r="J758" s="138"/>
      <c r="K758" s="138"/>
      <c r="L758" s="138"/>
      <c r="M758" s="138"/>
      <c r="N758" s="138"/>
      <c r="O758" s="138"/>
      <c r="P758" s="138"/>
    </row>
    <row r="759">
      <c r="A759" s="138"/>
      <c r="B759" s="138"/>
      <c r="C759" s="138"/>
      <c r="D759" s="138"/>
      <c r="E759" s="138"/>
      <c r="F759" s="138"/>
      <c r="G759" s="138"/>
      <c r="H759" s="138"/>
      <c r="I759" s="138"/>
      <c r="J759" s="138"/>
      <c r="K759" s="138"/>
      <c r="L759" s="138"/>
      <c r="M759" s="138"/>
      <c r="N759" s="138"/>
      <c r="O759" s="138"/>
      <c r="P759" s="138"/>
    </row>
    <row r="760">
      <c r="A760" s="138"/>
      <c r="B760" s="138"/>
      <c r="C760" s="138"/>
      <c r="D760" s="138"/>
      <c r="E760" s="138"/>
      <c r="F760" s="138"/>
      <c r="G760" s="138"/>
      <c r="H760" s="138"/>
      <c r="I760" s="138"/>
      <c r="J760" s="138"/>
      <c r="K760" s="138"/>
      <c r="L760" s="138"/>
      <c r="M760" s="138"/>
      <c r="N760" s="138"/>
      <c r="O760" s="138"/>
      <c r="P760" s="138"/>
    </row>
    <row r="761">
      <c r="A761" s="138"/>
      <c r="B761" s="138"/>
      <c r="C761" s="138"/>
      <c r="D761" s="138"/>
      <c r="E761" s="138"/>
      <c r="F761" s="138"/>
      <c r="G761" s="138"/>
      <c r="H761" s="138"/>
      <c r="I761" s="138"/>
      <c r="J761" s="138"/>
      <c r="K761" s="138"/>
      <c r="L761" s="138"/>
      <c r="M761" s="138"/>
      <c r="N761" s="138"/>
      <c r="O761" s="138"/>
      <c r="P761" s="138"/>
    </row>
    <row r="762">
      <c r="A762" s="138"/>
      <c r="B762" s="138"/>
      <c r="C762" s="138"/>
      <c r="D762" s="138"/>
      <c r="E762" s="138"/>
      <c r="F762" s="138"/>
      <c r="G762" s="138"/>
      <c r="H762" s="138"/>
      <c r="I762" s="138"/>
      <c r="J762" s="138"/>
      <c r="K762" s="138"/>
      <c r="L762" s="138"/>
      <c r="M762" s="138"/>
      <c r="N762" s="138"/>
      <c r="O762" s="138"/>
      <c r="P762" s="138"/>
    </row>
    <row r="763">
      <c r="A763" s="138"/>
      <c r="B763" s="138"/>
      <c r="C763" s="138"/>
      <c r="D763" s="138"/>
      <c r="E763" s="138"/>
      <c r="F763" s="138"/>
      <c r="G763" s="138"/>
      <c r="H763" s="138"/>
      <c r="I763" s="138"/>
      <c r="J763" s="138"/>
      <c r="K763" s="138"/>
      <c r="L763" s="138"/>
      <c r="M763" s="138"/>
      <c r="N763" s="138"/>
      <c r="O763" s="138"/>
      <c r="P763" s="138"/>
    </row>
    <row r="764">
      <c r="A764" s="138"/>
      <c r="B764" s="138"/>
      <c r="C764" s="138"/>
      <c r="D764" s="138"/>
      <c r="E764" s="138"/>
      <c r="F764" s="138"/>
      <c r="G764" s="138"/>
      <c r="H764" s="138"/>
      <c r="I764" s="138"/>
      <c r="J764" s="138"/>
      <c r="K764" s="138"/>
      <c r="L764" s="138"/>
      <c r="M764" s="138"/>
      <c r="N764" s="138"/>
      <c r="O764" s="138"/>
      <c r="P764" s="138"/>
    </row>
    <row r="765">
      <c r="A765" s="138"/>
      <c r="B765" s="138"/>
      <c r="C765" s="138"/>
      <c r="D765" s="138"/>
      <c r="E765" s="138"/>
      <c r="F765" s="138"/>
      <c r="G765" s="138"/>
      <c r="H765" s="138"/>
      <c r="I765" s="138"/>
      <c r="J765" s="138"/>
      <c r="K765" s="138"/>
      <c r="L765" s="138"/>
      <c r="M765" s="138"/>
      <c r="N765" s="138"/>
      <c r="O765" s="138"/>
      <c r="P765" s="138"/>
    </row>
    <row r="766">
      <c r="A766" s="138"/>
      <c r="B766" s="138"/>
      <c r="C766" s="138"/>
      <c r="D766" s="138"/>
      <c r="E766" s="138"/>
      <c r="F766" s="138"/>
      <c r="G766" s="138"/>
      <c r="H766" s="138"/>
      <c r="I766" s="138"/>
      <c r="J766" s="138"/>
      <c r="K766" s="138"/>
      <c r="L766" s="138"/>
      <c r="M766" s="138"/>
      <c r="N766" s="138"/>
      <c r="O766" s="138"/>
      <c r="P766" s="138"/>
    </row>
    <row r="767">
      <c r="A767" s="138"/>
      <c r="B767" s="138"/>
      <c r="C767" s="138"/>
      <c r="D767" s="138"/>
      <c r="E767" s="138"/>
      <c r="F767" s="138"/>
      <c r="G767" s="138"/>
      <c r="H767" s="138"/>
      <c r="I767" s="138"/>
      <c r="J767" s="138"/>
      <c r="K767" s="138"/>
      <c r="L767" s="138"/>
      <c r="M767" s="138"/>
      <c r="N767" s="138"/>
      <c r="O767" s="138"/>
      <c r="P767" s="138"/>
    </row>
    <row r="768">
      <c r="A768" s="138"/>
      <c r="B768" s="138"/>
      <c r="C768" s="138"/>
      <c r="D768" s="138"/>
      <c r="E768" s="138"/>
      <c r="F768" s="138"/>
      <c r="G768" s="138"/>
      <c r="H768" s="138"/>
      <c r="I768" s="138"/>
      <c r="J768" s="138"/>
      <c r="K768" s="138"/>
      <c r="L768" s="138"/>
      <c r="M768" s="138"/>
      <c r="N768" s="138"/>
      <c r="O768" s="138"/>
      <c r="P768" s="138"/>
    </row>
    <row r="769">
      <c r="A769" s="138"/>
      <c r="B769" s="138"/>
      <c r="C769" s="138"/>
      <c r="D769" s="138"/>
      <c r="E769" s="138"/>
      <c r="F769" s="138"/>
      <c r="G769" s="138"/>
      <c r="H769" s="138"/>
      <c r="I769" s="138"/>
      <c r="J769" s="138"/>
      <c r="K769" s="138"/>
      <c r="L769" s="138"/>
      <c r="M769" s="138"/>
      <c r="N769" s="138"/>
      <c r="O769" s="138"/>
      <c r="P769" s="138"/>
    </row>
    <row r="770">
      <c r="A770" s="138"/>
      <c r="B770" s="138"/>
      <c r="C770" s="138"/>
      <c r="D770" s="138"/>
      <c r="E770" s="138"/>
      <c r="F770" s="138"/>
      <c r="G770" s="138"/>
      <c r="H770" s="138"/>
      <c r="I770" s="138"/>
      <c r="J770" s="138"/>
      <c r="K770" s="138"/>
      <c r="L770" s="138"/>
      <c r="M770" s="138"/>
      <c r="N770" s="138"/>
      <c r="O770" s="138"/>
      <c r="P770" s="138"/>
    </row>
    <row r="771">
      <c r="A771" s="138"/>
      <c r="B771" s="138"/>
      <c r="C771" s="138"/>
      <c r="D771" s="138"/>
      <c r="E771" s="138"/>
      <c r="F771" s="138"/>
      <c r="G771" s="138"/>
      <c r="H771" s="138"/>
      <c r="I771" s="138"/>
      <c r="J771" s="138"/>
      <c r="K771" s="138"/>
      <c r="L771" s="138"/>
      <c r="M771" s="138"/>
      <c r="N771" s="138"/>
      <c r="O771" s="138"/>
      <c r="P771" s="138"/>
    </row>
    <row r="772">
      <c r="A772" s="138"/>
      <c r="B772" s="138"/>
      <c r="C772" s="138"/>
      <c r="D772" s="138"/>
      <c r="E772" s="138"/>
      <c r="F772" s="138"/>
      <c r="G772" s="138"/>
      <c r="H772" s="138"/>
      <c r="I772" s="138"/>
      <c r="J772" s="138"/>
      <c r="K772" s="138"/>
      <c r="L772" s="138"/>
      <c r="M772" s="138"/>
      <c r="N772" s="138"/>
      <c r="O772" s="138"/>
      <c r="P772" s="138"/>
    </row>
    <row r="773">
      <c r="A773" s="138"/>
      <c r="B773" s="138"/>
      <c r="C773" s="138"/>
      <c r="D773" s="138"/>
      <c r="E773" s="138"/>
      <c r="F773" s="138"/>
      <c r="G773" s="138"/>
      <c r="H773" s="138"/>
      <c r="I773" s="138"/>
      <c r="J773" s="138"/>
      <c r="K773" s="138"/>
      <c r="L773" s="138"/>
      <c r="M773" s="138"/>
      <c r="N773" s="138"/>
      <c r="O773" s="138"/>
      <c r="P773" s="138"/>
    </row>
    <row r="774">
      <c r="A774" s="138"/>
      <c r="B774" s="138"/>
      <c r="C774" s="138"/>
      <c r="D774" s="138"/>
      <c r="E774" s="138"/>
      <c r="F774" s="138"/>
      <c r="G774" s="138"/>
      <c r="H774" s="138"/>
      <c r="I774" s="138"/>
      <c r="J774" s="138"/>
      <c r="K774" s="138"/>
      <c r="L774" s="138"/>
      <c r="M774" s="138"/>
      <c r="N774" s="138"/>
      <c r="O774" s="138"/>
      <c r="P774" s="138"/>
    </row>
    <row r="775">
      <c r="A775" s="138"/>
      <c r="B775" s="138"/>
      <c r="C775" s="138"/>
      <c r="D775" s="138"/>
      <c r="E775" s="138"/>
      <c r="F775" s="138"/>
      <c r="G775" s="138"/>
      <c r="H775" s="138"/>
      <c r="I775" s="138"/>
      <c r="J775" s="138"/>
      <c r="K775" s="138"/>
      <c r="L775" s="138"/>
      <c r="M775" s="138"/>
      <c r="N775" s="138"/>
      <c r="O775" s="138"/>
      <c r="P775" s="138"/>
    </row>
    <row r="776">
      <c r="A776" s="138"/>
      <c r="B776" s="138"/>
      <c r="C776" s="138"/>
      <c r="D776" s="138"/>
      <c r="E776" s="138"/>
      <c r="F776" s="138"/>
      <c r="G776" s="138"/>
      <c r="H776" s="138"/>
      <c r="I776" s="138"/>
      <c r="J776" s="138"/>
      <c r="K776" s="138"/>
      <c r="L776" s="138"/>
      <c r="M776" s="138"/>
      <c r="N776" s="138"/>
      <c r="O776" s="138"/>
      <c r="P776" s="138"/>
    </row>
    <row r="777">
      <c r="A777" s="138"/>
      <c r="B777" s="138"/>
      <c r="C777" s="138"/>
      <c r="D777" s="138"/>
      <c r="E777" s="138"/>
      <c r="F777" s="138"/>
      <c r="G777" s="138"/>
      <c r="H777" s="138"/>
      <c r="I777" s="138"/>
      <c r="J777" s="138"/>
      <c r="K777" s="138"/>
      <c r="L777" s="138"/>
      <c r="M777" s="138"/>
      <c r="N777" s="138"/>
      <c r="O777" s="138"/>
      <c r="P777" s="138"/>
    </row>
    <row r="778">
      <c r="A778" s="138"/>
      <c r="B778" s="138"/>
      <c r="C778" s="138"/>
      <c r="D778" s="138"/>
      <c r="E778" s="138"/>
      <c r="F778" s="138"/>
      <c r="G778" s="138"/>
      <c r="H778" s="138"/>
      <c r="I778" s="138"/>
      <c r="J778" s="138"/>
      <c r="K778" s="138"/>
      <c r="L778" s="138"/>
      <c r="M778" s="138"/>
      <c r="N778" s="138"/>
      <c r="O778" s="138"/>
      <c r="P778" s="138"/>
    </row>
    <row r="779">
      <c r="A779" s="138"/>
      <c r="B779" s="138"/>
      <c r="C779" s="138"/>
      <c r="D779" s="138"/>
      <c r="E779" s="138"/>
      <c r="F779" s="138"/>
      <c r="G779" s="138"/>
      <c r="H779" s="138"/>
      <c r="I779" s="138"/>
      <c r="J779" s="138"/>
      <c r="K779" s="138"/>
      <c r="L779" s="138"/>
      <c r="M779" s="138"/>
      <c r="N779" s="138"/>
      <c r="O779" s="138"/>
      <c r="P779" s="138"/>
    </row>
    <row r="780">
      <c r="A780" s="138"/>
      <c r="B780" s="138"/>
      <c r="C780" s="138"/>
      <c r="D780" s="138"/>
      <c r="E780" s="138"/>
      <c r="F780" s="138"/>
      <c r="G780" s="138"/>
      <c r="H780" s="138"/>
      <c r="I780" s="138"/>
      <c r="J780" s="138"/>
      <c r="K780" s="138"/>
      <c r="L780" s="138"/>
      <c r="M780" s="138"/>
      <c r="N780" s="138"/>
      <c r="O780" s="138"/>
      <c r="P780" s="138"/>
    </row>
    <row r="781">
      <c r="A781" s="138"/>
      <c r="B781" s="138"/>
      <c r="C781" s="138"/>
      <c r="D781" s="138"/>
      <c r="E781" s="138"/>
      <c r="F781" s="138"/>
      <c r="G781" s="138"/>
      <c r="H781" s="138"/>
      <c r="I781" s="138"/>
      <c r="J781" s="138"/>
      <c r="K781" s="138"/>
      <c r="L781" s="138"/>
      <c r="M781" s="138"/>
      <c r="N781" s="138"/>
      <c r="O781" s="138"/>
      <c r="P781" s="138"/>
    </row>
    <row r="782">
      <c r="A782" s="138"/>
      <c r="B782" s="138"/>
      <c r="C782" s="138"/>
      <c r="D782" s="138"/>
      <c r="E782" s="138"/>
      <c r="F782" s="138"/>
      <c r="G782" s="138"/>
      <c r="H782" s="138"/>
      <c r="I782" s="138"/>
      <c r="J782" s="138"/>
      <c r="K782" s="138"/>
      <c r="L782" s="138"/>
      <c r="M782" s="138"/>
      <c r="N782" s="138"/>
      <c r="O782" s="138"/>
      <c r="P782" s="138"/>
    </row>
    <row r="783">
      <c r="A783" s="138"/>
      <c r="B783" s="138"/>
      <c r="C783" s="138"/>
      <c r="D783" s="138"/>
      <c r="E783" s="138"/>
      <c r="F783" s="138"/>
      <c r="G783" s="138"/>
      <c r="H783" s="138"/>
      <c r="I783" s="138"/>
      <c r="J783" s="138"/>
      <c r="K783" s="138"/>
      <c r="L783" s="138"/>
      <c r="M783" s="138"/>
      <c r="N783" s="138"/>
      <c r="O783" s="138"/>
      <c r="P783" s="138"/>
    </row>
    <row r="784">
      <c r="A784" s="138"/>
      <c r="B784" s="138"/>
      <c r="C784" s="138"/>
      <c r="D784" s="138"/>
      <c r="E784" s="138"/>
      <c r="F784" s="138"/>
      <c r="G784" s="138"/>
      <c r="H784" s="138"/>
      <c r="I784" s="138"/>
      <c r="J784" s="138"/>
      <c r="K784" s="138"/>
      <c r="L784" s="138"/>
      <c r="M784" s="138"/>
      <c r="N784" s="138"/>
      <c r="O784" s="138"/>
      <c r="P784" s="138"/>
    </row>
    <row r="785">
      <c r="A785" s="138"/>
      <c r="B785" s="138"/>
      <c r="C785" s="138"/>
      <c r="D785" s="138"/>
      <c r="E785" s="138"/>
      <c r="F785" s="138"/>
      <c r="G785" s="138"/>
      <c r="H785" s="138"/>
      <c r="I785" s="138"/>
      <c r="J785" s="138"/>
      <c r="K785" s="138"/>
      <c r="L785" s="138"/>
      <c r="M785" s="138"/>
      <c r="N785" s="138"/>
      <c r="O785" s="138"/>
      <c r="P785" s="138"/>
    </row>
    <row r="786">
      <c r="A786" s="138"/>
      <c r="B786" s="138"/>
      <c r="C786" s="138"/>
      <c r="D786" s="138"/>
      <c r="E786" s="138"/>
      <c r="F786" s="138"/>
      <c r="G786" s="138"/>
      <c r="H786" s="138"/>
      <c r="I786" s="138"/>
      <c r="J786" s="138"/>
      <c r="K786" s="138"/>
      <c r="L786" s="138"/>
      <c r="M786" s="138"/>
      <c r="N786" s="138"/>
      <c r="O786" s="138"/>
      <c r="P786" s="138"/>
    </row>
    <row r="787">
      <c r="A787" s="138"/>
      <c r="B787" s="138"/>
      <c r="C787" s="138"/>
      <c r="D787" s="138"/>
      <c r="E787" s="138"/>
      <c r="F787" s="138"/>
      <c r="G787" s="138"/>
      <c r="H787" s="138"/>
      <c r="I787" s="138"/>
      <c r="J787" s="138"/>
      <c r="K787" s="138"/>
      <c r="L787" s="138"/>
      <c r="M787" s="138"/>
      <c r="N787" s="138"/>
      <c r="O787" s="138"/>
      <c r="P787" s="138"/>
    </row>
    <row r="788">
      <c r="A788" s="138"/>
      <c r="B788" s="138"/>
      <c r="C788" s="138"/>
      <c r="D788" s="138"/>
      <c r="E788" s="138"/>
      <c r="F788" s="138"/>
      <c r="G788" s="138"/>
      <c r="H788" s="138"/>
      <c r="I788" s="138"/>
      <c r="J788" s="138"/>
      <c r="K788" s="138"/>
      <c r="L788" s="138"/>
      <c r="M788" s="138"/>
      <c r="N788" s="138"/>
      <c r="O788" s="138"/>
      <c r="P788" s="138"/>
    </row>
    <row r="789">
      <c r="A789" s="138"/>
      <c r="B789" s="138"/>
      <c r="C789" s="138"/>
      <c r="D789" s="138"/>
      <c r="E789" s="138"/>
      <c r="F789" s="138"/>
      <c r="G789" s="138"/>
      <c r="H789" s="138"/>
      <c r="I789" s="138"/>
      <c r="J789" s="138"/>
      <c r="K789" s="138"/>
      <c r="L789" s="138"/>
      <c r="M789" s="138"/>
      <c r="N789" s="138"/>
      <c r="O789" s="138"/>
      <c r="P789" s="138"/>
    </row>
    <row r="790">
      <c r="A790" s="138"/>
      <c r="B790" s="138"/>
      <c r="C790" s="138"/>
      <c r="D790" s="138"/>
      <c r="E790" s="138"/>
      <c r="F790" s="138"/>
      <c r="G790" s="138"/>
      <c r="H790" s="138"/>
      <c r="I790" s="138"/>
      <c r="J790" s="138"/>
      <c r="K790" s="138"/>
      <c r="L790" s="138"/>
      <c r="M790" s="138"/>
      <c r="N790" s="138"/>
      <c r="O790" s="138"/>
      <c r="P790" s="138"/>
    </row>
    <row r="791">
      <c r="A791" s="138"/>
      <c r="B791" s="138"/>
      <c r="C791" s="138"/>
      <c r="D791" s="138"/>
      <c r="E791" s="138"/>
      <c r="F791" s="138"/>
      <c r="G791" s="138"/>
      <c r="H791" s="138"/>
      <c r="I791" s="138"/>
      <c r="J791" s="138"/>
      <c r="K791" s="138"/>
      <c r="L791" s="138"/>
      <c r="M791" s="138"/>
      <c r="N791" s="138"/>
      <c r="O791" s="138"/>
      <c r="P791" s="138"/>
    </row>
    <row r="792">
      <c r="A792" s="138"/>
      <c r="B792" s="138"/>
      <c r="C792" s="138"/>
      <c r="D792" s="138"/>
      <c r="E792" s="138"/>
      <c r="F792" s="138"/>
      <c r="G792" s="138"/>
      <c r="H792" s="138"/>
      <c r="I792" s="138"/>
      <c r="J792" s="138"/>
      <c r="K792" s="138"/>
      <c r="L792" s="138"/>
      <c r="M792" s="138"/>
      <c r="N792" s="138"/>
      <c r="O792" s="138"/>
      <c r="P792" s="138"/>
    </row>
    <row r="793">
      <c r="A793" s="138"/>
      <c r="B793" s="138"/>
      <c r="C793" s="138"/>
      <c r="D793" s="138"/>
      <c r="E793" s="138"/>
      <c r="F793" s="138"/>
      <c r="G793" s="138"/>
      <c r="H793" s="138"/>
      <c r="I793" s="138"/>
      <c r="J793" s="138"/>
      <c r="K793" s="138"/>
      <c r="L793" s="138"/>
      <c r="M793" s="138"/>
      <c r="N793" s="138"/>
      <c r="O793" s="138"/>
      <c r="P793" s="138"/>
    </row>
    <row r="794">
      <c r="A794" s="138"/>
      <c r="B794" s="138"/>
      <c r="C794" s="138"/>
      <c r="D794" s="138"/>
      <c r="E794" s="138"/>
      <c r="F794" s="138"/>
      <c r="G794" s="138"/>
      <c r="H794" s="138"/>
      <c r="I794" s="138"/>
      <c r="J794" s="138"/>
      <c r="K794" s="138"/>
      <c r="L794" s="138"/>
      <c r="M794" s="138"/>
      <c r="N794" s="138"/>
      <c r="O794" s="138"/>
      <c r="P794" s="138"/>
    </row>
    <row r="795">
      <c r="A795" s="138"/>
      <c r="B795" s="138"/>
      <c r="C795" s="138"/>
      <c r="D795" s="138"/>
      <c r="E795" s="138"/>
      <c r="F795" s="138"/>
      <c r="G795" s="138"/>
      <c r="H795" s="138"/>
      <c r="I795" s="138"/>
      <c r="J795" s="138"/>
      <c r="K795" s="138"/>
      <c r="L795" s="138"/>
      <c r="M795" s="138"/>
      <c r="N795" s="138"/>
      <c r="O795" s="138"/>
      <c r="P795" s="138"/>
    </row>
    <row r="796">
      <c r="A796" s="138"/>
      <c r="B796" s="138"/>
      <c r="C796" s="138"/>
      <c r="D796" s="138"/>
      <c r="E796" s="138"/>
      <c r="F796" s="138"/>
      <c r="G796" s="138"/>
      <c r="H796" s="138"/>
      <c r="I796" s="138"/>
      <c r="J796" s="138"/>
      <c r="K796" s="138"/>
      <c r="L796" s="138"/>
      <c r="M796" s="138"/>
      <c r="N796" s="138"/>
      <c r="O796" s="138"/>
      <c r="P796" s="138"/>
    </row>
    <row r="797">
      <c r="A797" s="138"/>
      <c r="B797" s="138"/>
      <c r="C797" s="138"/>
      <c r="D797" s="138"/>
      <c r="E797" s="138"/>
      <c r="F797" s="138"/>
      <c r="G797" s="138"/>
      <c r="H797" s="138"/>
      <c r="I797" s="138"/>
      <c r="J797" s="138"/>
      <c r="K797" s="138"/>
      <c r="L797" s="138"/>
      <c r="M797" s="138"/>
      <c r="N797" s="138"/>
      <c r="O797" s="138"/>
      <c r="P797" s="138"/>
    </row>
    <row r="798">
      <c r="A798" s="138"/>
      <c r="B798" s="138"/>
      <c r="C798" s="138"/>
      <c r="D798" s="138"/>
      <c r="E798" s="138"/>
      <c r="F798" s="138"/>
      <c r="G798" s="138"/>
      <c r="H798" s="138"/>
      <c r="I798" s="138"/>
      <c r="J798" s="138"/>
      <c r="K798" s="138"/>
      <c r="L798" s="138"/>
      <c r="M798" s="138"/>
      <c r="N798" s="138"/>
      <c r="O798" s="138"/>
      <c r="P798" s="138"/>
    </row>
    <row r="799">
      <c r="A799" s="138"/>
      <c r="B799" s="138"/>
      <c r="C799" s="138"/>
      <c r="D799" s="138"/>
      <c r="E799" s="138"/>
      <c r="F799" s="138"/>
      <c r="G799" s="138"/>
      <c r="H799" s="138"/>
      <c r="I799" s="138"/>
      <c r="J799" s="138"/>
      <c r="K799" s="138"/>
      <c r="L799" s="138"/>
      <c r="M799" s="138"/>
      <c r="N799" s="138"/>
      <c r="O799" s="138"/>
      <c r="P799" s="138"/>
    </row>
    <row r="800">
      <c r="A800" s="138"/>
      <c r="B800" s="138"/>
      <c r="C800" s="138"/>
      <c r="D800" s="138"/>
      <c r="E800" s="138"/>
      <c r="F800" s="138"/>
      <c r="G800" s="138"/>
      <c r="H800" s="138"/>
      <c r="I800" s="138"/>
      <c r="J800" s="138"/>
      <c r="K800" s="138"/>
      <c r="L800" s="138"/>
      <c r="M800" s="138"/>
      <c r="N800" s="138"/>
      <c r="O800" s="138"/>
      <c r="P800" s="138"/>
    </row>
    <row r="801">
      <c r="A801" s="138"/>
      <c r="B801" s="138"/>
      <c r="C801" s="138"/>
      <c r="D801" s="138"/>
      <c r="E801" s="138"/>
      <c r="F801" s="138"/>
      <c r="G801" s="138"/>
      <c r="H801" s="138"/>
      <c r="I801" s="138"/>
      <c r="J801" s="138"/>
      <c r="K801" s="138"/>
      <c r="L801" s="138"/>
      <c r="M801" s="138"/>
      <c r="N801" s="138"/>
      <c r="O801" s="138"/>
      <c r="P801" s="138"/>
    </row>
    <row r="802">
      <c r="A802" s="138"/>
      <c r="B802" s="138"/>
      <c r="C802" s="138"/>
      <c r="D802" s="138"/>
      <c r="E802" s="138"/>
      <c r="F802" s="138"/>
      <c r="G802" s="138"/>
      <c r="H802" s="138"/>
      <c r="I802" s="138"/>
      <c r="J802" s="138"/>
      <c r="K802" s="138"/>
      <c r="L802" s="138"/>
      <c r="M802" s="138"/>
      <c r="N802" s="138"/>
      <c r="O802" s="138"/>
      <c r="P802" s="138"/>
    </row>
    <row r="803">
      <c r="A803" s="138"/>
      <c r="B803" s="138"/>
      <c r="C803" s="138"/>
      <c r="D803" s="138"/>
      <c r="E803" s="138"/>
      <c r="F803" s="138"/>
      <c r="G803" s="138"/>
      <c r="H803" s="138"/>
      <c r="I803" s="138"/>
      <c r="J803" s="138"/>
      <c r="K803" s="138"/>
      <c r="L803" s="138"/>
      <c r="M803" s="138"/>
      <c r="N803" s="138"/>
      <c r="O803" s="138"/>
      <c r="P803" s="138"/>
    </row>
    <row r="804">
      <c r="A804" s="138"/>
      <c r="B804" s="138"/>
      <c r="C804" s="138"/>
      <c r="D804" s="138"/>
      <c r="E804" s="138"/>
      <c r="F804" s="138"/>
      <c r="G804" s="138"/>
      <c r="H804" s="138"/>
      <c r="I804" s="138"/>
      <c r="J804" s="138"/>
      <c r="K804" s="138"/>
      <c r="L804" s="138"/>
      <c r="M804" s="138"/>
      <c r="N804" s="138"/>
      <c r="O804" s="138"/>
      <c r="P804" s="138"/>
    </row>
    <row r="805">
      <c r="A805" s="138"/>
      <c r="B805" s="138"/>
      <c r="C805" s="138"/>
      <c r="D805" s="138"/>
      <c r="E805" s="138"/>
      <c r="F805" s="138"/>
      <c r="G805" s="138"/>
      <c r="H805" s="138"/>
      <c r="I805" s="138"/>
      <c r="J805" s="138"/>
      <c r="K805" s="138"/>
      <c r="L805" s="138"/>
      <c r="M805" s="138"/>
      <c r="N805" s="138"/>
      <c r="O805" s="138"/>
      <c r="P805" s="138"/>
    </row>
    <row r="806">
      <c r="A806" s="138"/>
      <c r="B806" s="138"/>
      <c r="C806" s="138"/>
      <c r="D806" s="138"/>
      <c r="E806" s="138"/>
      <c r="F806" s="138"/>
      <c r="G806" s="138"/>
      <c r="H806" s="138"/>
      <c r="I806" s="138"/>
      <c r="J806" s="138"/>
      <c r="K806" s="138"/>
      <c r="L806" s="138"/>
      <c r="M806" s="138"/>
      <c r="N806" s="138"/>
      <c r="O806" s="138"/>
      <c r="P806" s="138"/>
    </row>
    <row r="807">
      <c r="A807" s="138"/>
      <c r="B807" s="138"/>
      <c r="C807" s="138"/>
      <c r="D807" s="138"/>
      <c r="E807" s="138"/>
      <c r="F807" s="138"/>
      <c r="G807" s="138"/>
      <c r="H807" s="138"/>
      <c r="I807" s="138"/>
      <c r="J807" s="138"/>
      <c r="K807" s="138"/>
      <c r="L807" s="138"/>
      <c r="M807" s="138"/>
      <c r="N807" s="138"/>
      <c r="O807" s="138"/>
      <c r="P807" s="138"/>
    </row>
    <row r="808">
      <c r="A808" s="138"/>
      <c r="B808" s="138"/>
      <c r="C808" s="138"/>
      <c r="D808" s="138"/>
      <c r="E808" s="138"/>
      <c r="F808" s="138"/>
      <c r="G808" s="138"/>
      <c r="H808" s="138"/>
      <c r="I808" s="138"/>
      <c r="J808" s="138"/>
      <c r="K808" s="138"/>
      <c r="L808" s="138"/>
      <c r="M808" s="138"/>
      <c r="N808" s="138"/>
      <c r="O808" s="138"/>
      <c r="P808" s="138"/>
    </row>
    <row r="809">
      <c r="A809" s="138"/>
      <c r="B809" s="138"/>
      <c r="C809" s="138"/>
      <c r="D809" s="138"/>
      <c r="E809" s="138"/>
      <c r="F809" s="138"/>
      <c r="G809" s="138"/>
      <c r="H809" s="138"/>
      <c r="I809" s="138"/>
      <c r="J809" s="138"/>
      <c r="K809" s="138"/>
      <c r="L809" s="138"/>
      <c r="M809" s="138"/>
      <c r="N809" s="138"/>
      <c r="O809" s="138"/>
      <c r="P809" s="138"/>
    </row>
    <row r="810">
      <c r="A810" s="138"/>
      <c r="B810" s="138"/>
      <c r="C810" s="138"/>
      <c r="D810" s="138"/>
      <c r="E810" s="138"/>
      <c r="F810" s="138"/>
      <c r="G810" s="138"/>
      <c r="H810" s="138"/>
      <c r="I810" s="138"/>
      <c r="J810" s="138"/>
      <c r="K810" s="138"/>
      <c r="L810" s="138"/>
      <c r="M810" s="138"/>
      <c r="N810" s="138"/>
      <c r="O810" s="138"/>
      <c r="P810" s="138"/>
    </row>
    <row r="811">
      <c r="A811" s="138"/>
      <c r="B811" s="138"/>
      <c r="C811" s="138"/>
      <c r="D811" s="138"/>
      <c r="E811" s="138"/>
      <c r="F811" s="138"/>
      <c r="G811" s="138"/>
      <c r="H811" s="138"/>
      <c r="I811" s="138"/>
      <c r="J811" s="138"/>
      <c r="K811" s="138"/>
      <c r="L811" s="138"/>
      <c r="M811" s="138"/>
      <c r="N811" s="138"/>
      <c r="O811" s="138"/>
      <c r="P811" s="138"/>
    </row>
    <row r="812">
      <c r="A812" s="138"/>
      <c r="B812" s="138"/>
      <c r="C812" s="138"/>
      <c r="D812" s="138"/>
      <c r="E812" s="138"/>
      <c r="F812" s="138"/>
      <c r="G812" s="138"/>
      <c r="H812" s="138"/>
      <c r="I812" s="138"/>
      <c r="J812" s="138"/>
      <c r="K812" s="138"/>
      <c r="L812" s="138"/>
      <c r="M812" s="138"/>
      <c r="N812" s="138"/>
      <c r="O812" s="138"/>
      <c r="P812" s="138"/>
    </row>
    <row r="813">
      <c r="A813" s="138"/>
      <c r="B813" s="138"/>
      <c r="C813" s="138"/>
      <c r="D813" s="138"/>
      <c r="E813" s="138"/>
      <c r="F813" s="138"/>
      <c r="G813" s="138"/>
      <c r="H813" s="138"/>
      <c r="I813" s="138"/>
      <c r="J813" s="138"/>
      <c r="K813" s="138"/>
      <c r="L813" s="138"/>
      <c r="M813" s="138"/>
      <c r="N813" s="138"/>
      <c r="O813" s="138"/>
      <c r="P813" s="138"/>
    </row>
    <row r="814">
      <c r="A814" s="138"/>
      <c r="B814" s="138"/>
      <c r="C814" s="138"/>
      <c r="D814" s="138"/>
      <c r="E814" s="138"/>
      <c r="F814" s="138"/>
      <c r="G814" s="138"/>
      <c r="H814" s="138"/>
      <c r="I814" s="138"/>
      <c r="J814" s="138"/>
      <c r="K814" s="138"/>
      <c r="L814" s="138"/>
      <c r="M814" s="138"/>
      <c r="N814" s="138"/>
      <c r="O814" s="138"/>
      <c r="P814" s="138"/>
    </row>
    <row r="815">
      <c r="A815" s="138"/>
      <c r="B815" s="138"/>
      <c r="C815" s="138"/>
      <c r="D815" s="138"/>
      <c r="E815" s="138"/>
      <c r="F815" s="138"/>
      <c r="G815" s="138"/>
      <c r="H815" s="138"/>
      <c r="I815" s="138"/>
      <c r="J815" s="138"/>
      <c r="K815" s="138"/>
      <c r="L815" s="138"/>
      <c r="M815" s="138"/>
      <c r="N815" s="138"/>
      <c r="O815" s="138"/>
      <c r="P815" s="138"/>
    </row>
    <row r="816">
      <c r="A816" s="138"/>
      <c r="B816" s="138"/>
      <c r="C816" s="138"/>
      <c r="D816" s="138"/>
      <c r="E816" s="138"/>
      <c r="F816" s="138"/>
      <c r="G816" s="138"/>
      <c r="H816" s="138"/>
      <c r="I816" s="138"/>
      <c r="J816" s="138"/>
      <c r="K816" s="138"/>
      <c r="L816" s="138"/>
      <c r="M816" s="138"/>
      <c r="N816" s="138"/>
      <c r="O816" s="138"/>
      <c r="P816" s="138"/>
    </row>
    <row r="817">
      <c r="A817" s="138"/>
      <c r="B817" s="138"/>
      <c r="C817" s="138"/>
      <c r="D817" s="138"/>
      <c r="E817" s="138"/>
      <c r="F817" s="138"/>
      <c r="G817" s="138"/>
      <c r="H817" s="138"/>
      <c r="I817" s="138"/>
      <c r="J817" s="138"/>
      <c r="K817" s="138"/>
      <c r="L817" s="138"/>
      <c r="M817" s="138"/>
      <c r="N817" s="138"/>
      <c r="O817" s="138"/>
      <c r="P817" s="138"/>
    </row>
    <row r="818">
      <c r="A818" s="138"/>
      <c r="B818" s="138"/>
      <c r="C818" s="138"/>
      <c r="D818" s="138"/>
      <c r="E818" s="138"/>
      <c r="F818" s="138"/>
      <c r="G818" s="138"/>
      <c r="H818" s="138"/>
      <c r="I818" s="138"/>
      <c r="J818" s="138"/>
      <c r="K818" s="138"/>
      <c r="L818" s="138"/>
      <c r="M818" s="138"/>
      <c r="N818" s="138"/>
      <c r="O818" s="138"/>
      <c r="P818" s="138"/>
    </row>
    <row r="819">
      <c r="A819" s="138"/>
      <c r="B819" s="138"/>
      <c r="C819" s="138"/>
      <c r="D819" s="138"/>
      <c r="E819" s="138"/>
      <c r="F819" s="138"/>
      <c r="G819" s="138"/>
      <c r="H819" s="138"/>
      <c r="I819" s="138"/>
      <c r="J819" s="138"/>
      <c r="K819" s="138"/>
      <c r="L819" s="138"/>
      <c r="M819" s="138"/>
      <c r="N819" s="138"/>
      <c r="O819" s="138"/>
      <c r="P819" s="138"/>
    </row>
    <row r="820">
      <c r="A820" s="138"/>
      <c r="B820" s="138"/>
      <c r="C820" s="138"/>
      <c r="D820" s="138"/>
      <c r="E820" s="138"/>
      <c r="F820" s="138"/>
      <c r="G820" s="138"/>
      <c r="H820" s="138"/>
      <c r="I820" s="138"/>
      <c r="J820" s="138"/>
      <c r="K820" s="138"/>
      <c r="L820" s="138"/>
      <c r="M820" s="138"/>
      <c r="N820" s="138"/>
      <c r="O820" s="138"/>
      <c r="P820" s="138"/>
    </row>
    <row r="821">
      <c r="A821" s="138"/>
      <c r="B821" s="138"/>
      <c r="C821" s="138"/>
      <c r="D821" s="138"/>
      <c r="E821" s="138"/>
      <c r="F821" s="138"/>
      <c r="G821" s="138"/>
      <c r="H821" s="138"/>
      <c r="I821" s="138"/>
      <c r="J821" s="138"/>
      <c r="K821" s="138"/>
      <c r="L821" s="138"/>
      <c r="M821" s="138"/>
      <c r="N821" s="138"/>
      <c r="O821" s="138"/>
      <c r="P821" s="138"/>
    </row>
    <row r="822">
      <c r="A822" s="138"/>
      <c r="B822" s="138"/>
      <c r="C822" s="138"/>
      <c r="D822" s="138"/>
      <c r="E822" s="138"/>
      <c r="F822" s="138"/>
      <c r="G822" s="138"/>
      <c r="H822" s="138"/>
      <c r="I822" s="138"/>
      <c r="J822" s="138"/>
      <c r="K822" s="138"/>
      <c r="L822" s="138"/>
      <c r="M822" s="138"/>
      <c r="N822" s="138"/>
      <c r="O822" s="138"/>
      <c r="P822" s="138"/>
    </row>
    <row r="823">
      <c r="A823" s="138"/>
      <c r="B823" s="138"/>
      <c r="C823" s="138"/>
      <c r="D823" s="138"/>
      <c r="E823" s="138"/>
      <c r="F823" s="138"/>
      <c r="G823" s="138"/>
      <c r="H823" s="138"/>
      <c r="I823" s="138"/>
      <c r="J823" s="138"/>
      <c r="K823" s="138"/>
      <c r="L823" s="138"/>
      <c r="M823" s="138"/>
      <c r="N823" s="138"/>
      <c r="O823" s="138"/>
      <c r="P823" s="138"/>
    </row>
    <row r="824">
      <c r="A824" s="138"/>
      <c r="B824" s="138"/>
      <c r="C824" s="138"/>
      <c r="D824" s="138"/>
      <c r="E824" s="138"/>
      <c r="F824" s="138"/>
      <c r="G824" s="138"/>
      <c r="H824" s="138"/>
      <c r="I824" s="138"/>
      <c r="J824" s="138"/>
      <c r="K824" s="138"/>
      <c r="L824" s="138"/>
      <c r="M824" s="138"/>
      <c r="N824" s="138"/>
      <c r="O824" s="138"/>
      <c r="P824" s="138"/>
    </row>
    <row r="825">
      <c r="A825" s="138"/>
      <c r="B825" s="138"/>
      <c r="C825" s="138"/>
      <c r="D825" s="138"/>
      <c r="E825" s="138"/>
      <c r="F825" s="138"/>
      <c r="G825" s="138"/>
      <c r="H825" s="138"/>
      <c r="I825" s="138"/>
      <c r="J825" s="138"/>
      <c r="K825" s="138"/>
      <c r="L825" s="138"/>
      <c r="M825" s="138"/>
      <c r="N825" s="138"/>
      <c r="O825" s="138"/>
      <c r="P825" s="138"/>
    </row>
    <row r="826">
      <c r="A826" s="138"/>
      <c r="B826" s="138"/>
      <c r="C826" s="138"/>
      <c r="D826" s="138"/>
      <c r="E826" s="138"/>
      <c r="F826" s="138"/>
      <c r="G826" s="138"/>
      <c r="H826" s="138"/>
      <c r="I826" s="138"/>
      <c r="J826" s="138"/>
      <c r="K826" s="138"/>
      <c r="L826" s="138"/>
      <c r="M826" s="138"/>
      <c r="N826" s="138"/>
      <c r="O826" s="138"/>
      <c r="P826" s="138"/>
    </row>
    <row r="827">
      <c r="A827" s="138"/>
      <c r="B827" s="138"/>
      <c r="C827" s="138"/>
      <c r="D827" s="138"/>
      <c r="E827" s="138"/>
      <c r="F827" s="138"/>
      <c r="G827" s="138"/>
      <c r="H827" s="138"/>
      <c r="I827" s="138"/>
      <c r="J827" s="138"/>
      <c r="K827" s="138"/>
      <c r="L827" s="138"/>
      <c r="M827" s="138"/>
      <c r="N827" s="138"/>
      <c r="O827" s="138"/>
      <c r="P827" s="138"/>
    </row>
    <row r="828">
      <c r="A828" s="138"/>
      <c r="B828" s="138"/>
      <c r="C828" s="138"/>
      <c r="D828" s="138"/>
      <c r="E828" s="138"/>
      <c r="F828" s="138"/>
      <c r="G828" s="138"/>
      <c r="H828" s="138"/>
      <c r="I828" s="138"/>
      <c r="J828" s="138"/>
      <c r="K828" s="138"/>
      <c r="L828" s="138"/>
      <c r="M828" s="138"/>
      <c r="N828" s="138"/>
      <c r="O828" s="138"/>
      <c r="P828" s="138"/>
    </row>
    <row r="829">
      <c r="A829" s="138"/>
      <c r="B829" s="138"/>
      <c r="C829" s="138"/>
      <c r="D829" s="138"/>
      <c r="E829" s="138"/>
      <c r="F829" s="138"/>
      <c r="G829" s="138"/>
      <c r="H829" s="138"/>
      <c r="I829" s="138"/>
      <c r="J829" s="138"/>
      <c r="K829" s="138"/>
      <c r="L829" s="138"/>
      <c r="M829" s="138"/>
      <c r="N829" s="138"/>
      <c r="O829" s="138"/>
      <c r="P829" s="138"/>
    </row>
    <row r="830">
      <c r="A830" s="138"/>
      <c r="B830" s="138"/>
      <c r="C830" s="138"/>
      <c r="D830" s="138"/>
      <c r="E830" s="138"/>
      <c r="F830" s="138"/>
      <c r="G830" s="138"/>
      <c r="H830" s="138"/>
      <c r="I830" s="138"/>
      <c r="J830" s="138"/>
      <c r="K830" s="138"/>
      <c r="L830" s="138"/>
      <c r="M830" s="138"/>
      <c r="N830" s="138"/>
      <c r="O830" s="138"/>
      <c r="P830" s="138"/>
    </row>
    <row r="831">
      <c r="A831" s="138"/>
      <c r="B831" s="138"/>
      <c r="C831" s="138"/>
      <c r="D831" s="138"/>
      <c r="E831" s="138"/>
      <c r="F831" s="138"/>
      <c r="G831" s="138"/>
      <c r="H831" s="138"/>
      <c r="I831" s="138"/>
      <c r="J831" s="138"/>
      <c r="K831" s="138"/>
      <c r="L831" s="138"/>
      <c r="M831" s="138"/>
      <c r="N831" s="138"/>
      <c r="O831" s="138"/>
      <c r="P831" s="138"/>
    </row>
    <row r="832">
      <c r="A832" s="138"/>
      <c r="B832" s="138"/>
      <c r="C832" s="138"/>
      <c r="D832" s="138"/>
      <c r="E832" s="138"/>
      <c r="F832" s="138"/>
      <c r="G832" s="138"/>
      <c r="H832" s="138"/>
      <c r="I832" s="138"/>
      <c r="J832" s="138"/>
      <c r="K832" s="138"/>
      <c r="L832" s="138"/>
      <c r="M832" s="138"/>
      <c r="N832" s="138"/>
      <c r="O832" s="138"/>
      <c r="P832" s="138"/>
    </row>
    <row r="833">
      <c r="A833" s="138"/>
      <c r="B833" s="138"/>
      <c r="C833" s="138"/>
      <c r="D833" s="138"/>
      <c r="E833" s="138"/>
      <c r="F833" s="138"/>
      <c r="G833" s="138"/>
      <c r="H833" s="138"/>
      <c r="I833" s="138"/>
      <c r="J833" s="138"/>
      <c r="K833" s="138"/>
      <c r="L833" s="138"/>
      <c r="M833" s="138"/>
      <c r="N833" s="138"/>
      <c r="O833" s="138"/>
      <c r="P833" s="138"/>
    </row>
    <row r="834">
      <c r="A834" s="138"/>
      <c r="B834" s="138"/>
      <c r="C834" s="138"/>
      <c r="D834" s="138"/>
      <c r="E834" s="138"/>
      <c r="F834" s="138"/>
      <c r="G834" s="138"/>
      <c r="H834" s="138"/>
      <c r="I834" s="138"/>
      <c r="J834" s="138"/>
      <c r="K834" s="138"/>
      <c r="L834" s="138"/>
      <c r="M834" s="138"/>
      <c r="N834" s="138"/>
      <c r="O834" s="138"/>
      <c r="P834" s="138"/>
    </row>
    <row r="835">
      <c r="A835" s="138"/>
      <c r="B835" s="138"/>
      <c r="C835" s="138"/>
      <c r="D835" s="138"/>
      <c r="E835" s="138"/>
      <c r="F835" s="138"/>
      <c r="G835" s="138"/>
      <c r="H835" s="138"/>
      <c r="I835" s="138"/>
      <c r="J835" s="138"/>
      <c r="K835" s="138"/>
      <c r="L835" s="138"/>
      <c r="M835" s="138"/>
      <c r="N835" s="138"/>
      <c r="O835" s="138"/>
      <c r="P835" s="138"/>
    </row>
    <row r="836">
      <c r="A836" s="138"/>
      <c r="B836" s="138"/>
      <c r="C836" s="138"/>
      <c r="D836" s="138"/>
      <c r="E836" s="138"/>
      <c r="F836" s="138"/>
      <c r="G836" s="138"/>
      <c r="H836" s="138"/>
      <c r="I836" s="138"/>
      <c r="J836" s="138"/>
      <c r="K836" s="138"/>
      <c r="L836" s="138"/>
      <c r="M836" s="138"/>
      <c r="N836" s="138"/>
      <c r="O836" s="138"/>
      <c r="P836" s="138"/>
    </row>
    <row r="837">
      <c r="A837" s="138"/>
      <c r="B837" s="138"/>
      <c r="C837" s="138"/>
      <c r="D837" s="138"/>
      <c r="E837" s="138"/>
      <c r="F837" s="138"/>
      <c r="G837" s="138"/>
      <c r="H837" s="138"/>
      <c r="I837" s="138"/>
      <c r="J837" s="138"/>
      <c r="K837" s="138"/>
      <c r="L837" s="138"/>
      <c r="M837" s="138"/>
      <c r="N837" s="138"/>
      <c r="O837" s="138"/>
      <c r="P837" s="138"/>
    </row>
    <row r="838">
      <c r="A838" s="138"/>
      <c r="B838" s="138"/>
      <c r="C838" s="138"/>
      <c r="D838" s="138"/>
      <c r="E838" s="138"/>
      <c r="F838" s="138"/>
      <c r="G838" s="138"/>
      <c r="H838" s="138"/>
      <c r="I838" s="138"/>
      <c r="J838" s="138"/>
      <c r="K838" s="138"/>
      <c r="L838" s="138"/>
      <c r="M838" s="138"/>
      <c r="N838" s="138"/>
      <c r="O838" s="138"/>
      <c r="P838" s="138"/>
    </row>
    <row r="839">
      <c r="A839" s="138"/>
      <c r="B839" s="138"/>
      <c r="C839" s="138"/>
      <c r="D839" s="138"/>
      <c r="E839" s="138"/>
      <c r="F839" s="138"/>
      <c r="G839" s="138"/>
      <c r="H839" s="138"/>
      <c r="I839" s="138"/>
      <c r="J839" s="138"/>
      <c r="K839" s="138"/>
      <c r="L839" s="138"/>
      <c r="M839" s="138"/>
      <c r="N839" s="138"/>
      <c r="O839" s="138"/>
      <c r="P839" s="138"/>
    </row>
    <row r="840">
      <c r="A840" s="138"/>
      <c r="B840" s="138"/>
      <c r="C840" s="138"/>
      <c r="D840" s="138"/>
      <c r="E840" s="138"/>
      <c r="F840" s="138"/>
      <c r="G840" s="138"/>
      <c r="H840" s="138"/>
      <c r="I840" s="138"/>
      <c r="J840" s="138"/>
      <c r="K840" s="138"/>
      <c r="L840" s="138"/>
      <c r="M840" s="138"/>
      <c r="N840" s="138"/>
      <c r="O840" s="138"/>
      <c r="P840" s="138"/>
    </row>
    <row r="841">
      <c r="A841" s="138"/>
      <c r="B841" s="138"/>
      <c r="C841" s="138"/>
      <c r="D841" s="138"/>
      <c r="E841" s="138"/>
      <c r="F841" s="138"/>
      <c r="G841" s="138"/>
      <c r="H841" s="138"/>
      <c r="I841" s="138"/>
      <c r="J841" s="138"/>
      <c r="K841" s="138"/>
      <c r="L841" s="138"/>
      <c r="M841" s="138"/>
      <c r="N841" s="138"/>
      <c r="O841" s="138"/>
      <c r="P841" s="138"/>
    </row>
    <row r="842">
      <c r="A842" s="138"/>
      <c r="B842" s="138"/>
      <c r="C842" s="138"/>
      <c r="D842" s="138"/>
      <c r="E842" s="138"/>
      <c r="F842" s="138"/>
      <c r="G842" s="138"/>
      <c r="H842" s="138"/>
      <c r="I842" s="138"/>
      <c r="J842" s="138"/>
      <c r="K842" s="138"/>
      <c r="L842" s="138"/>
      <c r="M842" s="138"/>
      <c r="N842" s="138"/>
      <c r="O842" s="138"/>
      <c r="P842" s="138"/>
    </row>
    <row r="843">
      <c r="A843" s="138"/>
      <c r="B843" s="138"/>
      <c r="C843" s="138"/>
      <c r="D843" s="138"/>
      <c r="E843" s="138"/>
      <c r="F843" s="138"/>
      <c r="G843" s="138"/>
      <c r="H843" s="138"/>
      <c r="I843" s="138"/>
      <c r="J843" s="138"/>
      <c r="K843" s="138"/>
      <c r="L843" s="138"/>
      <c r="M843" s="138"/>
      <c r="N843" s="138"/>
      <c r="O843" s="138"/>
      <c r="P843" s="138"/>
    </row>
    <row r="844">
      <c r="A844" s="138"/>
      <c r="B844" s="138"/>
      <c r="C844" s="138"/>
      <c r="D844" s="138"/>
      <c r="E844" s="138"/>
      <c r="F844" s="138"/>
      <c r="G844" s="138"/>
      <c r="H844" s="138"/>
      <c r="I844" s="138"/>
      <c r="J844" s="138"/>
      <c r="K844" s="138"/>
      <c r="L844" s="138"/>
      <c r="M844" s="138"/>
      <c r="N844" s="138"/>
      <c r="O844" s="138"/>
      <c r="P844" s="138"/>
    </row>
    <row r="845">
      <c r="A845" s="138"/>
      <c r="B845" s="138"/>
      <c r="C845" s="138"/>
      <c r="D845" s="138"/>
      <c r="E845" s="138"/>
      <c r="F845" s="138"/>
      <c r="G845" s="138"/>
      <c r="H845" s="138"/>
      <c r="I845" s="138"/>
      <c r="J845" s="138"/>
      <c r="K845" s="138"/>
      <c r="L845" s="138"/>
      <c r="M845" s="138"/>
      <c r="N845" s="138"/>
      <c r="O845" s="138"/>
      <c r="P845" s="138"/>
    </row>
    <row r="846">
      <c r="A846" s="138"/>
      <c r="B846" s="138"/>
      <c r="C846" s="138"/>
      <c r="D846" s="138"/>
      <c r="E846" s="138"/>
      <c r="F846" s="138"/>
      <c r="G846" s="138"/>
      <c r="H846" s="138"/>
      <c r="I846" s="138"/>
      <c r="J846" s="138"/>
      <c r="K846" s="138"/>
      <c r="L846" s="138"/>
      <c r="M846" s="138"/>
      <c r="N846" s="138"/>
      <c r="O846" s="138"/>
      <c r="P846" s="138"/>
    </row>
    <row r="847">
      <c r="A847" s="138"/>
      <c r="B847" s="138"/>
      <c r="C847" s="138"/>
      <c r="D847" s="138"/>
      <c r="E847" s="138"/>
      <c r="F847" s="138"/>
      <c r="G847" s="138"/>
      <c r="H847" s="138"/>
      <c r="I847" s="138"/>
      <c r="J847" s="138"/>
      <c r="K847" s="138"/>
      <c r="L847" s="138"/>
      <c r="M847" s="138"/>
      <c r="N847" s="138"/>
      <c r="O847" s="138"/>
      <c r="P847" s="138"/>
    </row>
    <row r="848">
      <c r="A848" s="138"/>
      <c r="B848" s="138"/>
      <c r="C848" s="138"/>
      <c r="D848" s="138"/>
      <c r="E848" s="138"/>
      <c r="F848" s="138"/>
      <c r="G848" s="138"/>
      <c r="H848" s="138"/>
      <c r="I848" s="138"/>
      <c r="J848" s="138"/>
      <c r="K848" s="138"/>
      <c r="L848" s="138"/>
      <c r="M848" s="138"/>
      <c r="N848" s="138"/>
      <c r="O848" s="138"/>
      <c r="P848" s="138"/>
    </row>
    <row r="849">
      <c r="A849" s="138"/>
      <c r="B849" s="138"/>
      <c r="C849" s="138"/>
      <c r="D849" s="138"/>
      <c r="E849" s="138"/>
      <c r="F849" s="138"/>
      <c r="G849" s="138"/>
      <c r="H849" s="138"/>
      <c r="I849" s="138"/>
      <c r="J849" s="138"/>
      <c r="K849" s="138"/>
      <c r="L849" s="138"/>
      <c r="M849" s="138"/>
      <c r="N849" s="138"/>
      <c r="O849" s="138"/>
      <c r="P849" s="138"/>
    </row>
    <row r="850">
      <c r="A850" s="138"/>
      <c r="B850" s="138"/>
      <c r="C850" s="138"/>
      <c r="D850" s="138"/>
      <c r="E850" s="138"/>
      <c r="F850" s="138"/>
      <c r="G850" s="138"/>
      <c r="H850" s="138"/>
      <c r="I850" s="138"/>
      <c r="J850" s="138"/>
      <c r="K850" s="138"/>
      <c r="L850" s="138"/>
      <c r="M850" s="138"/>
      <c r="N850" s="138"/>
      <c r="O850" s="138"/>
      <c r="P850" s="138"/>
    </row>
    <row r="851">
      <c r="A851" s="138"/>
      <c r="B851" s="138"/>
      <c r="C851" s="138"/>
      <c r="D851" s="138"/>
      <c r="E851" s="138"/>
      <c r="F851" s="138"/>
      <c r="G851" s="138"/>
      <c r="H851" s="138"/>
      <c r="I851" s="138"/>
      <c r="J851" s="138"/>
      <c r="K851" s="138"/>
      <c r="L851" s="138"/>
      <c r="M851" s="138"/>
      <c r="N851" s="138"/>
      <c r="O851" s="138"/>
      <c r="P851" s="138"/>
    </row>
    <row r="852">
      <c r="A852" s="138"/>
      <c r="B852" s="138"/>
      <c r="C852" s="138"/>
      <c r="D852" s="138"/>
      <c r="E852" s="138"/>
      <c r="F852" s="138"/>
      <c r="G852" s="138"/>
      <c r="H852" s="138"/>
      <c r="I852" s="138"/>
      <c r="J852" s="138"/>
      <c r="K852" s="138"/>
      <c r="L852" s="138"/>
      <c r="M852" s="138"/>
      <c r="N852" s="138"/>
      <c r="O852" s="138"/>
      <c r="P852" s="138"/>
    </row>
    <row r="853">
      <c r="A853" s="138"/>
      <c r="B853" s="138"/>
      <c r="C853" s="138"/>
      <c r="D853" s="138"/>
      <c r="E853" s="138"/>
      <c r="F853" s="138"/>
      <c r="G853" s="138"/>
      <c r="H853" s="138"/>
      <c r="I853" s="138"/>
      <c r="J853" s="138"/>
      <c r="K853" s="138"/>
      <c r="L853" s="138"/>
      <c r="M853" s="138"/>
      <c r="N853" s="138"/>
      <c r="O853" s="138"/>
      <c r="P853" s="138"/>
    </row>
    <row r="854">
      <c r="A854" s="138"/>
      <c r="B854" s="138"/>
      <c r="C854" s="138"/>
      <c r="D854" s="138"/>
      <c r="E854" s="138"/>
      <c r="F854" s="138"/>
      <c r="G854" s="138"/>
      <c r="H854" s="138"/>
      <c r="I854" s="138"/>
      <c r="J854" s="138"/>
      <c r="K854" s="138"/>
      <c r="L854" s="138"/>
      <c r="M854" s="138"/>
      <c r="N854" s="138"/>
      <c r="O854" s="138"/>
      <c r="P854" s="138"/>
    </row>
    <row r="855">
      <c r="A855" s="138"/>
      <c r="B855" s="138"/>
      <c r="C855" s="138"/>
      <c r="D855" s="138"/>
      <c r="E855" s="138"/>
      <c r="F855" s="138"/>
      <c r="G855" s="138"/>
      <c r="H855" s="138"/>
      <c r="I855" s="138"/>
      <c r="J855" s="138"/>
      <c r="K855" s="138"/>
      <c r="L855" s="138"/>
      <c r="M855" s="138"/>
      <c r="N855" s="138"/>
      <c r="O855" s="138"/>
      <c r="P855" s="138"/>
    </row>
    <row r="856">
      <c r="A856" s="138"/>
      <c r="B856" s="138"/>
      <c r="C856" s="138"/>
      <c r="D856" s="138"/>
      <c r="E856" s="138"/>
      <c r="F856" s="138"/>
      <c r="G856" s="138"/>
      <c r="H856" s="138"/>
      <c r="I856" s="138"/>
      <c r="J856" s="138"/>
      <c r="K856" s="138"/>
      <c r="L856" s="138"/>
      <c r="M856" s="138"/>
      <c r="N856" s="138"/>
      <c r="O856" s="138"/>
      <c r="P856" s="138"/>
    </row>
    <row r="857">
      <c r="A857" s="138"/>
      <c r="B857" s="138"/>
      <c r="C857" s="138"/>
      <c r="D857" s="138"/>
      <c r="E857" s="138"/>
      <c r="F857" s="138"/>
      <c r="G857" s="138"/>
      <c r="H857" s="138"/>
      <c r="I857" s="138"/>
      <c r="J857" s="138"/>
      <c r="K857" s="138"/>
      <c r="L857" s="138"/>
      <c r="M857" s="138"/>
      <c r="N857" s="138"/>
      <c r="O857" s="138"/>
      <c r="P857" s="138"/>
    </row>
    <row r="858">
      <c r="A858" s="138"/>
      <c r="B858" s="138"/>
      <c r="C858" s="138"/>
      <c r="D858" s="138"/>
      <c r="E858" s="138"/>
      <c r="F858" s="138"/>
      <c r="G858" s="138"/>
      <c r="H858" s="138"/>
      <c r="I858" s="138"/>
      <c r="J858" s="138"/>
      <c r="K858" s="138"/>
      <c r="L858" s="138"/>
      <c r="M858" s="138"/>
      <c r="N858" s="138"/>
      <c r="O858" s="138"/>
      <c r="P858" s="138"/>
    </row>
    <row r="859">
      <c r="A859" s="138"/>
      <c r="B859" s="138"/>
      <c r="C859" s="138"/>
      <c r="D859" s="138"/>
      <c r="E859" s="138"/>
      <c r="F859" s="138"/>
      <c r="G859" s="138"/>
      <c r="H859" s="138"/>
      <c r="I859" s="138"/>
      <c r="J859" s="138"/>
      <c r="K859" s="138"/>
      <c r="L859" s="138"/>
      <c r="M859" s="138"/>
      <c r="N859" s="138"/>
      <c r="O859" s="138"/>
      <c r="P859" s="138"/>
    </row>
    <row r="860">
      <c r="A860" s="138"/>
      <c r="B860" s="138"/>
      <c r="C860" s="138"/>
      <c r="D860" s="138"/>
      <c r="E860" s="138"/>
      <c r="F860" s="138"/>
      <c r="G860" s="138"/>
      <c r="H860" s="138"/>
      <c r="I860" s="138"/>
      <c r="J860" s="138"/>
      <c r="K860" s="138"/>
      <c r="L860" s="138"/>
      <c r="M860" s="138"/>
      <c r="N860" s="138"/>
      <c r="O860" s="138"/>
      <c r="P860" s="138"/>
    </row>
    <row r="861">
      <c r="A861" s="138"/>
      <c r="B861" s="138"/>
      <c r="C861" s="138"/>
      <c r="D861" s="138"/>
      <c r="E861" s="138"/>
      <c r="F861" s="138"/>
      <c r="G861" s="138"/>
      <c r="H861" s="138"/>
      <c r="I861" s="138"/>
      <c r="J861" s="138"/>
      <c r="K861" s="138"/>
      <c r="L861" s="138"/>
      <c r="M861" s="138"/>
      <c r="N861" s="138"/>
      <c r="O861" s="138"/>
      <c r="P861" s="138"/>
    </row>
    <row r="862">
      <c r="A862" s="138"/>
      <c r="B862" s="138"/>
      <c r="C862" s="138"/>
      <c r="D862" s="138"/>
      <c r="E862" s="138"/>
      <c r="F862" s="138"/>
      <c r="G862" s="138"/>
      <c r="H862" s="138"/>
      <c r="I862" s="138"/>
      <c r="J862" s="138"/>
      <c r="K862" s="138"/>
      <c r="L862" s="138"/>
      <c r="M862" s="138"/>
      <c r="N862" s="138"/>
      <c r="O862" s="138"/>
      <c r="P862" s="138"/>
    </row>
    <row r="863">
      <c r="A863" s="138"/>
      <c r="B863" s="138"/>
      <c r="C863" s="138"/>
      <c r="D863" s="138"/>
      <c r="E863" s="138"/>
      <c r="F863" s="138"/>
      <c r="G863" s="138"/>
      <c r="H863" s="138"/>
      <c r="I863" s="138"/>
      <c r="J863" s="138"/>
      <c r="K863" s="138"/>
      <c r="L863" s="138"/>
      <c r="M863" s="138"/>
      <c r="N863" s="138"/>
      <c r="O863" s="138"/>
      <c r="P863" s="138"/>
    </row>
    <row r="864">
      <c r="A864" s="138"/>
      <c r="B864" s="138"/>
      <c r="C864" s="138"/>
      <c r="D864" s="138"/>
      <c r="E864" s="138"/>
      <c r="F864" s="138"/>
      <c r="G864" s="138"/>
      <c r="H864" s="138"/>
      <c r="I864" s="138"/>
      <c r="J864" s="138"/>
      <c r="K864" s="138"/>
      <c r="L864" s="138"/>
      <c r="M864" s="138"/>
      <c r="N864" s="138"/>
      <c r="O864" s="138"/>
      <c r="P864" s="138"/>
    </row>
    <row r="865">
      <c r="A865" s="138"/>
      <c r="B865" s="138"/>
      <c r="C865" s="138"/>
      <c r="D865" s="138"/>
      <c r="E865" s="138"/>
      <c r="F865" s="138"/>
      <c r="G865" s="138"/>
      <c r="H865" s="138"/>
      <c r="I865" s="138"/>
      <c r="J865" s="138"/>
      <c r="K865" s="138"/>
      <c r="L865" s="138"/>
      <c r="M865" s="138"/>
      <c r="N865" s="138"/>
      <c r="O865" s="138"/>
      <c r="P865" s="138"/>
    </row>
    <row r="866">
      <c r="A866" s="138"/>
      <c r="B866" s="138"/>
      <c r="C866" s="138"/>
      <c r="D866" s="138"/>
      <c r="E866" s="138"/>
      <c r="F866" s="138"/>
      <c r="G866" s="138"/>
      <c r="H866" s="138"/>
      <c r="I866" s="138"/>
      <c r="J866" s="138"/>
      <c r="K866" s="138"/>
      <c r="L866" s="138"/>
      <c r="M866" s="138"/>
      <c r="N866" s="138"/>
      <c r="O866" s="138"/>
      <c r="P866" s="138"/>
    </row>
    <row r="867">
      <c r="A867" s="138"/>
      <c r="B867" s="138"/>
      <c r="C867" s="138"/>
      <c r="D867" s="138"/>
      <c r="E867" s="138"/>
      <c r="F867" s="138"/>
      <c r="G867" s="138"/>
      <c r="H867" s="138"/>
      <c r="I867" s="138"/>
      <c r="J867" s="138"/>
      <c r="K867" s="138"/>
      <c r="L867" s="138"/>
      <c r="M867" s="138"/>
      <c r="N867" s="138"/>
      <c r="O867" s="138"/>
      <c r="P867" s="138"/>
    </row>
    <row r="868">
      <c r="A868" s="138"/>
      <c r="B868" s="138"/>
      <c r="C868" s="138"/>
      <c r="D868" s="138"/>
      <c r="E868" s="138"/>
      <c r="F868" s="138"/>
      <c r="G868" s="138"/>
      <c r="H868" s="138"/>
      <c r="I868" s="138"/>
      <c r="J868" s="138"/>
      <c r="K868" s="138"/>
      <c r="L868" s="138"/>
      <c r="M868" s="138"/>
      <c r="N868" s="138"/>
      <c r="O868" s="138"/>
      <c r="P868" s="138"/>
    </row>
    <row r="869">
      <c r="A869" s="138"/>
      <c r="B869" s="138"/>
      <c r="C869" s="138"/>
      <c r="D869" s="138"/>
      <c r="E869" s="138"/>
      <c r="F869" s="138"/>
      <c r="G869" s="138"/>
      <c r="H869" s="138"/>
      <c r="I869" s="138"/>
      <c r="J869" s="138"/>
      <c r="K869" s="138"/>
      <c r="L869" s="138"/>
      <c r="M869" s="138"/>
      <c r="N869" s="138"/>
      <c r="O869" s="138"/>
      <c r="P869" s="138"/>
    </row>
    <row r="870">
      <c r="A870" s="138"/>
      <c r="B870" s="138"/>
      <c r="C870" s="138"/>
      <c r="D870" s="138"/>
      <c r="E870" s="138"/>
      <c r="F870" s="138"/>
      <c r="G870" s="138"/>
      <c r="H870" s="138"/>
      <c r="I870" s="138"/>
      <c r="J870" s="138"/>
      <c r="K870" s="138"/>
      <c r="L870" s="138"/>
      <c r="M870" s="138"/>
      <c r="N870" s="138"/>
      <c r="O870" s="138"/>
      <c r="P870" s="138"/>
    </row>
    <row r="871">
      <c r="A871" s="138"/>
      <c r="B871" s="138"/>
      <c r="C871" s="138"/>
      <c r="D871" s="138"/>
      <c r="E871" s="138"/>
      <c r="F871" s="138"/>
      <c r="G871" s="138"/>
      <c r="H871" s="138"/>
      <c r="I871" s="138"/>
      <c r="J871" s="138"/>
      <c r="K871" s="138"/>
      <c r="L871" s="138"/>
      <c r="M871" s="138"/>
      <c r="N871" s="138"/>
      <c r="O871" s="138"/>
      <c r="P871" s="138"/>
    </row>
    <row r="872">
      <c r="A872" s="138"/>
      <c r="B872" s="138"/>
      <c r="C872" s="138"/>
      <c r="D872" s="138"/>
      <c r="E872" s="138"/>
      <c r="F872" s="138"/>
      <c r="G872" s="138"/>
      <c r="H872" s="138"/>
      <c r="I872" s="138"/>
      <c r="J872" s="138"/>
      <c r="K872" s="138"/>
      <c r="L872" s="138"/>
      <c r="M872" s="138"/>
      <c r="N872" s="138"/>
      <c r="O872" s="138"/>
      <c r="P872" s="138"/>
    </row>
    <row r="873">
      <c r="A873" s="138"/>
      <c r="B873" s="138"/>
      <c r="C873" s="138"/>
      <c r="D873" s="138"/>
      <c r="E873" s="138"/>
      <c r="F873" s="138"/>
      <c r="G873" s="138"/>
      <c r="H873" s="138"/>
      <c r="I873" s="138"/>
      <c r="J873" s="138"/>
      <c r="K873" s="138"/>
      <c r="L873" s="138"/>
      <c r="M873" s="138"/>
      <c r="N873" s="138"/>
      <c r="O873" s="138"/>
      <c r="P873" s="138"/>
    </row>
    <row r="874">
      <c r="A874" s="138"/>
      <c r="B874" s="138"/>
      <c r="C874" s="138"/>
      <c r="D874" s="138"/>
      <c r="E874" s="138"/>
      <c r="F874" s="138"/>
      <c r="G874" s="138"/>
      <c r="H874" s="138"/>
      <c r="I874" s="138"/>
      <c r="J874" s="138"/>
      <c r="K874" s="138"/>
      <c r="L874" s="138"/>
      <c r="M874" s="138"/>
      <c r="N874" s="138"/>
      <c r="O874" s="138"/>
      <c r="P874" s="138"/>
    </row>
    <row r="875">
      <c r="A875" s="138"/>
      <c r="B875" s="138"/>
      <c r="C875" s="138"/>
      <c r="D875" s="138"/>
      <c r="E875" s="138"/>
      <c r="F875" s="138"/>
      <c r="G875" s="138"/>
      <c r="H875" s="138"/>
      <c r="I875" s="138"/>
      <c r="J875" s="138"/>
      <c r="K875" s="138"/>
      <c r="L875" s="138"/>
      <c r="M875" s="138"/>
      <c r="N875" s="138"/>
      <c r="O875" s="138"/>
      <c r="P875" s="138"/>
    </row>
    <row r="876">
      <c r="A876" s="138"/>
      <c r="B876" s="138"/>
      <c r="C876" s="138"/>
      <c r="D876" s="138"/>
      <c r="E876" s="138"/>
      <c r="F876" s="138"/>
      <c r="G876" s="138"/>
      <c r="H876" s="138"/>
      <c r="I876" s="138"/>
      <c r="J876" s="138"/>
      <c r="K876" s="138"/>
      <c r="L876" s="138"/>
      <c r="M876" s="138"/>
      <c r="N876" s="138"/>
      <c r="O876" s="138"/>
      <c r="P876" s="138"/>
    </row>
    <row r="877">
      <c r="A877" s="138"/>
      <c r="B877" s="138"/>
      <c r="C877" s="138"/>
      <c r="D877" s="138"/>
      <c r="E877" s="138"/>
      <c r="F877" s="138"/>
      <c r="G877" s="138"/>
      <c r="H877" s="138"/>
      <c r="I877" s="138"/>
      <c r="J877" s="138"/>
      <c r="K877" s="138"/>
      <c r="L877" s="138"/>
      <c r="M877" s="138"/>
      <c r="N877" s="138"/>
      <c r="O877" s="138"/>
      <c r="P877" s="138"/>
    </row>
    <row r="878">
      <c r="A878" s="138"/>
      <c r="B878" s="138"/>
      <c r="C878" s="138"/>
      <c r="D878" s="138"/>
      <c r="E878" s="138"/>
      <c r="F878" s="138"/>
      <c r="G878" s="138"/>
      <c r="H878" s="138"/>
      <c r="I878" s="138"/>
      <c r="J878" s="138"/>
      <c r="K878" s="138"/>
      <c r="L878" s="138"/>
      <c r="M878" s="138"/>
      <c r="N878" s="138"/>
      <c r="O878" s="138"/>
      <c r="P878" s="138"/>
    </row>
    <row r="879">
      <c r="A879" s="138"/>
      <c r="B879" s="138"/>
      <c r="C879" s="138"/>
      <c r="D879" s="138"/>
      <c r="E879" s="138"/>
      <c r="F879" s="138"/>
      <c r="G879" s="138"/>
      <c r="H879" s="138"/>
      <c r="I879" s="138"/>
      <c r="J879" s="138"/>
      <c r="K879" s="138"/>
      <c r="L879" s="138"/>
      <c r="M879" s="138"/>
      <c r="N879" s="138"/>
      <c r="O879" s="138"/>
      <c r="P879" s="138"/>
    </row>
    <row r="880">
      <c r="A880" s="138"/>
      <c r="B880" s="138"/>
      <c r="C880" s="138"/>
      <c r="D880" s="138"/>
      <c r="E880" s="138"/>
      <c r="F880" s="138"/>
      <c r="G880" s="138"/>
      <c r="H880" s="138"/>
      <c r="I880" s="138"/>
      <c r="J880" s="138"/>
      <c r="K880" s="138"/>
      <c r="L880" s="138"/>
      <c r="M880" s="138"/>
      <c r="N880" s="138"/>
      <c r="O880" s="138"/>
      <c r="P880" s="138"/>
    </row>
    <row r="881">
      <c r="A881" s="138"/>
      <c r="B881" s="138"/>
      <c r="C881" s="138"/>
      <c r="D881" s="138"/>
      <c r="E881" s="138"/>
      <c r="F881" s="138"/>
      <c r="G881" s="138"/>
      <c r="H881" s="138"/>
      <c r="I881" s="138"/>
      <c r="J881" s="138"/>
      <c r="K881" s="138"/>
      <c r="L881" s="138"/>
      <c r="M881" s="138"/>
      <c r="N881" s="138"/>
      <c r="O881" s="138"/>
      <c r="P881" s="138"/>
    </row>
    <row r="882">
      <c r="A882" s="138"/>
      <c r="B882" s="138"/>
      <c r="C882" s="138"/>
      <c r="D882" s="138"/>
      <c r="E882" s="138"/>
      <c r="F882" s="138"/>
      <c r="G882" s="138"/>
      <c r="H882" s="138"/>
      <c r="I882" s="138"/>
      <c r="J882" s="138"/>
      <c r="K882" s="138"/>
      <c r="L882" s="138"/>
      <c r="M882" s="138"/>
      <c r="N882" s="138"/>
      <c r="O882" s="138"/>
      <c r="P882" s="138"/>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8.38"/>
    <col customWidth="1" min="3" max="3" width="36.25"/>
    <col customWidth="1" min="6" max="6" width="15.5"/>
    <col customWidth="1" min="15" max="15" width="49.63"/>
  </cols>
  <sheetData>
    <row r="1">
      <c r="A1" s="202" t="s">
        <v>0</v>
      </c>
      <c r="B1" s="203" t="s">
        <v>1</v>
      </c>
      <c r="C1" s="161" t="s">
        <v>2</v>
      </c>
      <c r="D1" s="202" t="s">
        <v>3</v>
      </c>
      <c r="E1" s="202" t="s">
        <v>4</v>
      </c>
      <c r="F1" s="202" t="s">
        <v>5</v>
      </c>
      <c r="G1" s="202" t="s">
        <v>6</v>
      </c>
      <c r="H1" s="202" t="s">
        <v>7</v>
      </c>
      <c r="I1" s="202" t="s">
        <v>8</v>
      </c>
      <c r="J1" s="202" t="s">
        <v>9</v>
      </c>
      <c r="K1" s="202" t="s">
        <v>10</v>
      </c>
      <c r="L1" s="202" t="s">
        <v>11</v>
      </c>
      <c r="M1" s="202" t="s">
        <v>12</v>
      </c>
      <c r="N1" s="202" t="s">
        <v>13</v>
      </c>
      <c r="O1" s="203" t="s">
        <v>696</v>
      </c>
      <c r="P1" s="27"/>
      <c r="Q1" s="27"/>
      <c r="R1" s="27"/>
      <c r="S1" s="27"/>
      <c r="T1" s="27"/>
      <c r="U1" s="27"/>
      <c r="V1" s="27"/>
      <c r="W1" s="27"/>
      <c r="X1" s="27"/>
      <c r="Y1" s="27"/>
      <c r="Z1" s="27"/>
      <c r="AA1" s="27"/>
      <c r="AB1" s="27"/>
    </row>
    <row r="2">
      <c r="A2" s="204">
        <v>10061.0</v>
      </c>
      <c r="B2" s="2" t="s">
        <v>4952</v>
      </c>
      <c r="C2" s="2" t="str">
        <f>IFERROR(__xludf.DUMMYFUNCTION("googletranslate(B2)"),"The Uganda Green Growth Development Strategy 2017/18 - 2030/31")</f>
        <v>The Uganda Green Growth Development Strategy 2017/18 - 2030/31</v>
      </c>
      <c r="D2" s="204" t="s">
        <v>4953</v>
      </c>
      <c r="E2" s="204" t="s">
        <v>4954</v>
      </c>
      <c r="F2" s="204" t="s">
        <v>144</v>
      </c>
      <c r="G2" s="204"/>
      <c r="H2" s="204">
        <v>2017.0</v>
      </c>
      <c r="I2" s="204" t="s">
        <v>24</v>
      </c>
      <c r="J2" s="204" t="s">
        <v>4955</v>
      </c>
      <c r="K2" s="205" t="s">
        <v>4956</v>
      </c>
      <c r="L2" s="204" t="s">
        <v>4957</v>
      </c>
      <c r="M2" s="138"/>
      <c r="N2" s="204" t="s">
        <v>23</v>
      </c>
      <c r="O2" s="25"/>
    </row>
    <row r="3">
      <c r="A3" s="204">
        <v>10061.0</v>
      </c>
      <c r="B3" s="206" t="s">
        <v>4958</v>
      </c>
      <c r="C3" s="2" t="str">
        <f>IFERROR(__xludf.DUMMYFUNCTION("googletranslate(B3)"),"Uganda Green Growth Development Strategy")</f>
        <v>Uganda Green Growth Development Strategy</v>
      </c>
      <c r="D3" s="204" t="s">
        <v>4953</v>
      </c>
      <c r="E3" s="204" t="s">
        <v>4954</v>
      </c>
      <c r="F3" s="204" t="s">
        <v>144</v>
      </c>
      <c r="G3" s="207"/>
      <c r="H3" s="207"/>
      <c r="I3" s="204" t="s">
        <v>24</v>
      </c>
      <c r="J3" s="204" t="s">
        <v>4959</v>
      </c>
      <c r="K3" s="205" t="s">
        <v>4960</v>
      </c>
      <c r="L3" s="204" t="s">
        <v>4957</v>
      </c>
      <c r="M3" s="138"/>
      <c r="N3" s="204" t="s">
        <v>326</v>
      </c>
      <c r="O3" s="25"/>
    </row>
    <row r="4">
      <c r="A4" s="208">
        <v>1737.0</v>
      </c>
      <c r="B4" s="9" t="s">
        <v>4961</v>
      </c>
      <c r="C4" s="8" t="s">
        <v>4962</v>
      </c>
      <c r="D4" s="208" t="s">
        <v>4963</v>
      </c>
      <c r="E4" s="208" t="s">
        <v>4964</v>
      </c>
      <c r="F4" s="208" t="s">
        <v>41</v>
      </c>
      <c r="G4" s="208"/>
      <c r="H4" s="208">
        <v>2017.0</v>
      </c>
      <c r="I4" s="208" t="s">
        <v>4965</v>
      </c>
      <c r="J4" s="208" t="s">
        <v>4966</v>
      </c>
      <c r="K4" s="209" t="s">
        <v>4967</v>
      </c>
      <c r="L4" s="208" t="s">
        <v>4957</v>
      </c>
      <c r="M4" s="207"/>
      <c r="N4" s="208" t="s">
        <v>23</v>
      </c>
      <c r="O4" s="5"/>
      <c r="P4" s="3"/>
      <c r="Q4" s="3"/>
      <c r="R4" s="3"/>
      <c r="S4" s="3"/>
      <c r="T4" s="3"/>
      <c r="U4" s="3"/>
      <c r="V4" s="3"/>
      <c r="W4" s="3"/>
      <c r="X4" s="3"/>
      <c r="Y4" s="3"/>
      <c r="Z4" s="3"/>
      <c r="AA4" s="3"/>
      <c r="AB4" s="3"/>
    </row>
    <row r="5">
      <c r="A5" s="204">
        <v>1737.0</v>
      </c>
      <c r="B5" s="2" t="s">
        <v>4968</v>
      </c>
      <c r="C5" s="2" t="str">
        <f>IFERROR(__xludf.DUMMYFUNCTION("GOOGLETRANSLATE(B5)"),"Amendments to some laws of Ukraine
As for the set of ""green"" tariff")</f>
        <v>Amendments to some laws of Ukraine
As for the set of "green" tariff</v>
      </c>
      <c r="D5" s="204" t="s">
        <v>4963</v>
      </c>
      <c r="E5" s="204" t="s">
        <v>4964</v>
      </c>
      <c r="F5" s="204" t="s">
        <v>41</v>
      </c>
      <c r="G5" s="204"/>
      <c r="H5" s="204">
        <v>2009.0</v>
      </c>
      <c r="I5" s="204" t="s">
        <v>4965</v>
      </c>
      <c r="J5" s="204" t="s">
        <v>4969</v>
      </c>
      <c r="K5" s="205" t="s">
        <v>4970</v>
      </c>
      <c r="L5" s="204" t="s">
        <v>4957</v>
      </c>
      <c r="M5" s="138"/>
      <c r="N5" s="204" t="s">
        <v>23</v>
      </c>
      <c r="O5" s="25"/>
    </row>
    <row r="6">
      <c r="A6" s="204">
        <v>1737.0</v>
      </c>
      <c r="B6" s="210" t="s">
        <v>4971</v>
      </c>
      <c r="C6" s="2" t="str">
        <f>IFERROR(__xludf.DUMMYFUNCTION("GOOGLETRANSLATE(B6)"),"Amendments to the Law of Ukraine ""On Electricity"" on stimulating electricity production from alternative energy sources")</f>
        <v>Amendments to the Law of Ukraine "On Electricity" on stimulating electricity production from alternative energy sources</v>
      </c>
      <c r="D6" s="204" t="s">
        <v>4963</v>
      </c>
      <c r="E6" s="204" t="s">
        <v>4964</v>
      </c>
      <c r="F6" s="204" t="s">
        <v>41</v>
      </c>
      <c r="G6" s="204"/>
      <c r="H6" s="204">
        <v>2013.0</v>
      </c>
      <c r="I6" s="204" t="s">
        <v>4965</v>
      </c>
      <c r="J6" s="204" t="s">
        <v>4972</v>
      </c>
      <c r="K6" s="205" t="s">
        <v>4973</v>
      </c>
      <c r="L6" s="204" t="s">
        <v>4957</v>
      </c>
      <c r="M6" s="138"/>
      <c r="N6" s="204" t="s">
        <v>23</v>
      </c>
      <c r="O6" s="25"/>
    </row>
    <row r="7">
      <c r="A7" s="208">
        <v>9213.0</v>
      </c>
      <c r="B7" s="8" t="s">
        <v>4974</v>
      </c>
      <c r="C7" s="8" t="str">
        <f>IFERROR(__xludf.DUMMYFUNCTION("GOOGLETRANSLATE(B7)"),"Amendments to certain laws of Ukraine on ensuring competitive conditions of electricity production from alternative energy sources")</f>
        <v>Amendments to certain laws of Ukraine on ensuring competitive conditions of electricity production from alternative energy sources</v>
      </c>
      <c r="D7" s="208" t="s">
        <v>4963</v>
      </c>
      <c r="E7" s="208" t="s">
        <v>4964</v>
      </c>
      <c r="F7" s="208" t="s">
        <v>41</v>
      </c>
      <c r="G7" s="207"/>
      <c r="H7" s="207"/>
      <c r="I7" s="208" t="s">
        <v>4965</v>
      </c>
      <c r="J7" s="208" t="s">
        <v>4975</v>
      </c>
      <c r="K7" s="209" t="s">
        <v>4976</v>
      </c>
      <c r="L7" s="208" t="s">
        <v>4957</v>
      </c>
      <c r="M7" s="207"/>
      <c r="N7" s="208" t="s">
        <v>23</v>
      </c>
      <c r="O7" s="5"/>
      <c r="P7" s="3"/>
      <c r="Q7" s="3"/>
      <c r="R7" s="3"/>
      <c r="S7" s="3"/>
      <c r="T7" s="3"/>
      <c r="U7" s="3"/>
      <c r="V7" s="3"/>
      <c r="W7" s="3"/>
      <c r="X7" s="3"/>
      <c r="Y7" s="3"/>
      <c r="Z7" s="3"/>
      <c r="AA7" s="3"/>
      <c r="AB7" s="3"/>
    </row>
    <row r="8">
      <c r="A8" s="204">
        <v>9213.0</v>
      </c>
      <c r="B8" s="2" t="s">
        <v>4977</v>
      </c>
      <c r="C8" s="2" t="str">
        <f>IFERROR(__xludf.DUMMYFUNCTION("GOOGLETRANSLATE(B8)"),"Draft Law on Amendments to Certain Laws of Ukraine on Improving the Conditions for Supporting Electricity Production from Alternative Energy Sources")</f>
        <v>Draft Law on Amendments to Certain Laws of Ukraine on Improving the Conditions for Supporting Electricity Production from Alternative Energy Sources</v>
      </c>
      <c r="D8" s="204" t="s">
        <v>4963</v>
      </c>
      <c r="E8" s="204" t="s">
        <v>4964</v>
      </c>
      <c r="F8" s="204" t="s">
        <v>41</v>
      </c>
      <c r="G8" s="204"/>
      <c r="H8" s="204">
        <v>2020.0</v>
      </c>
      <c r="I8" s="204" t="s">
        <v>4965</v>
      </c>
      <c r="J8" s="205" t="s">
        <v>4978</v>
      </c>
      <c r="K8" s="205" t="s">
        <v>4979</v>
      </c>
      <c r="L8" s="204" t="s">
        <v>4957</v>
      </c>
      <c r="M8" s="138"/>
      <c r="N8" s="204" t="s">
        <v>4980</v>
      </c>
      <c r="O8" s="25"/>
    </row>
    <row r="9">
      <c r="A9" s="204">
        <v>9213.0</v>
      </c>
      <c r="B9" s="2" t="s">
        <v>4981</v>
      </c>
      <c r="C9" s="2" t="str">
        <f>IFERROR(__xludf.DUMMYFUNCTION("GOOGLETRANSLATE(B9)"),"Draft Law on Amendments to the Law of Ukraine ""On the State Budget of Ukraine for 2020"" (on the implementation of the provisions of Article 11 of the Law of Ukraine ""On the Natural Gas Market"")")</f>
        <v>Draft Law on Amendments to the Law of Ukraine "On the State Budget of Ukraine for 2020" (on the implementation of the provisions of Article 11 of the Law of Ukraine "On the Natural Gas Market")</v>
      </c>
      <c r="D9" s="204" t="s">
        <v>4963</v>
      </c>
      <c r="E9" s="204" t="s">
        <v>4964</v>
      </c>
      <c r="F9" s="204" t="s">
        <v>41</v>
      </c>
      <c r="G9" s="204"/>
      <c r="H9" s="204">
        <v>2020.0</v>
      </c>
      <c r="I9" s="204" t="s">
        <v>4965</v>
      </c>
      <c r="J9" s="205" t="s">
        <v>4982</v>
      </c>
      <c r="K9" s="205" t="s">
        <v>4983</v>
      </c>
      <c r="L9" s="204" t="s">
        <v>4957</v>
      </c>
      <c r="M9" s="138"/>
      <c r="N9" s="204" t="s">
        <v>4980</v>
      </c>
      <c r="O9" s="25"/>
    </row>
    <row r="10">
      <c r="A10" s="204">
        <v>9755.0</v>
      </c>
      <c r="B10" s="2" t="s">
        <v>4984</v>
      </c>
      <c r="C10" s="2" t="str">
        <f>IFERROR(__xludf.DUMMYFUNCTION("GOOGLETRANSLATE(B10)"),"Order on approval of minimum requirements for the energy efficiency of buildings")</f>
        <v>Order on approval of minimum requirements for the energy efficiency of buildings</v>
      </c>
      <c r="D10" s="204" t="s">
        <v>4963</v>
      </c>
      <c r="E10" s="204" t="s">
        <v>4964</v>
      </c>
      <c r="F10" s="204" t="s">
        <v>1340</v>
      </c>
      <c r="G10" s="204"/>
      <c r="H10" s="204">
        <v>2020.0</v>
      </c>
      <c r="I10" s="204" t="s">
        <v>4965</v>
      </c>
      <c r="J10" s="204" t="s">
        <v>4985</v>
      </c>
      <c r="K10" s="205" t="s">
        <v>4986</v>
      </c>
      <c r="L10" s="204" t="s">
        <v>4957</v>
      </c>
      <c r="M10" s="138"/>
      <c r="N10" s="204" t="s">
        <v>92</v>
      </c>
      <c r="O10" s="25"/>
    </row>
    <row r="11">
      <c r="A11" s="204">
        <v>9755.0</v>
      </c>
      <c r="B11" s="2" t="s">
        <v>4987</v>
      </c>
      <c r="C11" s="2" t="str">
        <f>IFERROR(__xludf.DUMMYFUNCTION("GOOGLETRANSLATE(B11)"),"Order 27.10.2020 № 261 On approval of changes to the methodology for determining the energy efficiency of buildings")</f>
        <v>Order 27.10.2020 № 261 On approval of changes to the methodology for determining the energy efficiency of buildings</v>
      </c>
      <c r="D11" s="204" t="s">
        <v>4963</v>
      </c>
      <c r="E11" s="204" t="s">
        <v>4964</v>
      </c>
      <c r="F11" s="204" t="s">
        <v>1340</v>
      </c>
      <c r="G11" s="204"/>
      <c r="H11" s="204">
        <v>2020.0</v>
      </c>
      <c r="I11" s="204" t="s">
        <v>4965</v>
      </c>
      <c r="J11" s="204" t="s">
        <v>4988</v>
      </c>
      <c r="K11" s="205" t="s">
        <v>4989</v>
      </c>
      <c r="L11" s="204" t="s">
        <v>4957</v>
      </c>
      <c r="M11" s="138"/>
      <c r="N11" s="204" t="s">
        <v>92</v>
      </c>
      <c r="O11" s="25"/>
    </row>
    <row r="12">
      <c r="A12" s="204">
        <v>10115.0</v>
      </c>
      <c r="B12" s="2" t="s">
        <v>4990</v>
      </c>
      <c r="C12" s="2" t="str">
        <f>IFERROR(__xludf.DUMMYFUNCTION("GOOGLETRANSLATE(B12)"),"National Economic Strategy for the period up to 2030
")</f>
        <v>National Economic Strategy for the period up to 2030
</v>
      </c>
      <c r="D12" s="204" t="s">
        <v>4963</v>
      </c>
      <c r="E12" s="204" t="s">
        <v>4964</v>
      </c>
      <c r="F12" s="204" t="s">
        <v>144</v>
      </c>
      <c r="G12" s="204"/>
      <c r="H12" s="204">
        <v>2021.0</v>
      </c>
      <c r="I12" s="204" t="s">
        <v>4965</v>
      </c>
      <c r="J12" s="204" t="s">
        <v>4991</v>
      </c>
      <c r="K12" s="205" t="s">
        <v>4992</v>
      </c>
      <c r="L12" s="204" t="s">
        <v>4957</v>
      </c>
      <c r="M12" s="138"/>
      <c r="N12" s="204" t="s">
        <v>2232</v>
      </c>
      <c r="O12" s="25"/>
    </row>
    <row r="13">
      <c r="A13" s="204">
        <v>10115.0</v>
      </c>
      <c r="B13" s="2" t="s">
        <v>4993</v>
      </c>
      <c r="C13" s="2" t="str">
        <f>IFERROR(__xludf.DUMMYFUNCTION("GOOGLETRANSLATE(B13)"),"Resolution of March 03, 2021 No. 179 On approval of the National Economic Strategy for the period up to 2030")</f>
        <v>Resolution of March 03, 2021 No. 179 On approval of the National Economic Strategy for the period up to 2030</v>
      </c>
      <c r="D13" s="204" t="s">
        <v>4963</v>
      </c>
      <c r="E13" s="204" t="s">
        <v>4964</v>
      </c>
      <c r="F13" s="204" t="s">
        <v>137</v>
      </c>
      <c r="G13" s="204"/>
      <c r="H13" s="204">
        <v>2021.0</v>
      </c>
      <c r="I13" s="204" t="s">
        <v>4965</v>
      </c>
      <c r="J13" s="204" t="s">
        <v>4994</v>
      </c>
      <c r="K13" s="205" t="s">
        <v>4995</v>
      </c>
      <c r="L13" s="204" t="s">
        <v>4957</v>
      </c>
      <c r="M13" s="138"/>
      <c r="N13" s="204" t="s">
        <v>275</v>
      </c>
      <c r="O13" s="25"/>
    </row>
    <row r="14">
      <c r="A14" s="204">
        <v>10294.0</v>
      </c>
      <c r="B14" s="211" t="s">
        <v>4996</v>
      </c>
      <c r="C14" s="2" t="str">
        <f>IFERROR(__xludf.DUMMYFUNCTION("GOOGLETRANSLATE(B14)"),"Infrastructure Reform")</f>
        <v>Infrastructure Reform</v>
      </c>
      <c r="D14" s="204" t="s">
        <v>4963</v>
      </c>
      <c r="E14" s="204" t="s">
        <v>4964</v>
      </c>
      <c r="F14" s="204" t="s">
        <v>295</v>
      </c>
      <c r="G14" s="138"/>
      <c r="H14" s="138"/>
      <c r="I14" s="204" t="s">
        <v>4965</v>
      </c>
      <c r="J14" s="204" t="s">
        <v>4997</v>
      </c>
      <c r="K14" s="205" t="s">
        <v>4998</v>
      </c>
      <c r="L14" s="204" t="s">
        <v>4957</v>
      </c>
      <c r="M14" s="138"/>
      <c r="N14" s="204" t="s">
        <v>275</v>
      </c>
      <c r="O14" s="25"/>
    </row>
    <row r="15">
      <c r="A15" s="204">
        <v>10294.0</v>
      </c>
      <c r="B15" s="211" t="s">
        <v>4999</v>
      </c>
      <c r="C15" s="2" t="str">
        <f>IFERROR(__xludf.DUMMYFUNCTION("GOOGLETRANSLATE(B15)"),"Government has approved a plan of measures to implement the National Transport Strategy of Ukraine until 2030, says Vladyslav Kryklii")</f>
        <v>Government has approved a plan of measures to implement the National Transport Strategy of Ukraine until 2030, says Vladyslav Kryklii</v>
      </c>
      <c r="D15" s="204" t="s">
        <v>4963</v>
      </c>
      <c r="E15" s="204" t="s">
        <v>4964</v>
      </c>
      <c r="F15" s="204" t="s">
        <v>295</v>
      </c>
      <c r="G15" s="138"/>
      <c r="H15" s="138"/>
      <c r="I15" s="204" t="s">
        <v>4965</v>
      </c>
      <c r="J15" s="204" t="s">
        <v>5000</v>
      </c>
      <c r="K15" s="212" t="s">
        <v>5001</v>
      </c>
      <c r="L15" s="204" t="s">
        <v>4957</v>
      </c>
      <c r="M15" s="138"/>
      <c r="N15" s="204" t="s">
        <v>275</v>
      </c>
      <c r="O15" s="25"/>
    </row>
    <row r="16">
      <c r="A16" s="204">
        <v>10294.0</v>
      </c>
      <c r="B16" s="1" t="s">
        <v>5002</v>
      </c>
      <c r="C16" s="1" t="s">
        <v>5003</v>
      </c>
      <c r="D16" s="204" t="s">
        <v>4963</v>
      </c>
      <c r="E16" s="204" t="s">
        <v>4964</v>
      </c>
      <c r="F16" s="204" t="s">
        <v>1340</v>
      </c>
      <c r="G16" s="204"/>
      <c r="H16" s="204">
        <v>2018.0</v>
      </c>
      <c r="I16" s="204" t="s">
        <v>4965</v>
      </c>
      <c r="J16" s="204" t="s">
        <v>5004</v>
      </c>
      <c r="K16" s="205" t="s">
        <v>5005</v>
      </c>
      <c r="L16" s="204" t="s">
        <v>4957</v>
      </c>
      <c r="M16" s="138"/>
      <c r="N16" s="204" t="s">
        <v>23</v>
      </c>
      <c r="O16" s="25"/>
    </row>
    <row r="17">
      <c r="A17" s="204">
        <v>1746.0</v>
      </c>
      <c r="B17" s="1" t="s">
        <v>5006</v>
      </c>
      <c r="C17" s="2" t="str">
        <f>IFERROR(__xludf.DUMMYFUNCTION("googletranslate(B17)"),"The National Adaptation Programme: Making the country resilient to a changing climate")</f>
        <v>The National Adaptation Programme: Making the country resilient to a changing climate</v>
      </c>
      <c r="D17" s="204" t="s">
        <v>5007</v>
      </c>
      <c r="E17" s="204" t="s">
        <v>5008</v>
      </c>
      <c r="F17" s="204" t="s">
        <v>850</v>
      </c>
      <c r="G17" s="204"/>
      <c r="H17" s="204">
        <v>2013.0</v>
      </c>
      <c r="I17" s="204" t="s">
        <v>24</v>
      </c>
      <c r="J17" s="204" t="s">
        <v>5009</v>
      </c>
      <c r="K17" s="205" t="s">
        <v>5010</v>
      </c>
      <c r="L17" s="204" t="s">
        <v>4957</v>
      </c>
      <c r="M17" s="138"/>
      <c r="N17" s="204" t="s">
        <v>23</v>
      </c>
      <c r="O17" s="25"/>
    </row>
    <row r="18">
      <c r="A18" s="204">
        <v>1746.0</v>
      </c>
      <c r="B18" s="1" t="s">
        <v>5011</v>
      </c>
      <c r="C18" s="2" t="str">
        <f>IFERROR(__xludf.DUMMYFUNCTION("googletranslate(B18)"),"The National Adaptation Programme and the Third Strategy for Climate Adaptation Reporting: Making the country resilient to a changing climate")</f>
        <v>The National Adaptation Programme and the Third Strategy for Climate Adaptation Reporting: Making the country resilient to a changing climate</v>
      </c>
      <c r="D18" s="204" t="s">
        <v>5007</v>
      </c>
      <c r="E18" s="204" t="s">
        <v>5008</v>
      </c>
      <c r="F18" s="204" t="s">
        <v>144</v>
      </c>
      <c r="G18" s="204"/>
      <c r="H18" s="204">
        <v>2018.0</v>
      </c>
      <c r="I18" s="204" t="s">
        <v>24</v>
      </c>
      <c r="J18" s="204" t="s">
        <v>5012</v>
      </c>
      <c r="K18" s="205" t="s">
        <v>5013</v>
      </c>
      <c r="L18" s="204" t="s">
        <v>4957</v>
      </c>
      <c r="M18" s="138"/>
      <c r="N18" s="204" t="s">
        <v>23</v>
      </c>
      <c r="O18" s="25"/>
    </row>
    <row r="19">
      <c r="A19" s="204">
        <v>1754.0</v>
      </c>
      <c r="B19" s="213" t="s">
        <v>5014</v>
      </c>
      <c r="C19" s="2" t="str">
        <f>IFERROR(__xludf.DUMMYFUNCTION("googletranslate(B19)"),"Smart Export Guarantee (SEG): earn money for exporting the renewable electricity you have generated")</f>
        <v>Smart Export Guarantee (SEG): earn money for exporting the renewable electricity you have generated</v>
      </c>
      <c r="D19" s="204" t="s">
        <v>5007</v>
      </c>
      <c r="E19" s="204" t="s">
        <v>5008</v>
      </c>
      <c r="F19" s="208" t="s">
        <v>407</v>
      </c>
      <c r="G19" s="204"/>
      <c r="H19" s="204">
        <v>2020.0</v>
      </c>
      <c r="I19" s="204" t="s">
        <v>24</v>
      </c>
      <c r="J19" s="204" t="s">
        <v>5015</v>
      </c>
      <c r="K19" s="205" t="s">
        <v>5016</v>
      </c>
      <c r="L19" s="204" t="s">
        <v>4957</v>
      </c>
      <c r="M19" s="138"/>
      <c r="N19" s="204" t="s">
        <v>92</v>
      </c>
      <c r="O19" s="25"/>
    </row>
    <row r="20">
      <c r="A20" s="204">
        <v>1754.0</v>
      </c>
      <c r="B20" s="2" t="s">
        <v>5017</v>
      </c>
      <c r="C20" s="2" t="str">
        <f>IFERROR(__xludf.DUMMYFUNCTION("googletranslate(B20)"),"About the Feed-in Tariff Scheme")</f>
        <v>About the Feed-in Tariff Scheme</v>
      </c>
      <c r="D20" s="204" t="s">
        <v>5007</v>
      </c>
      <c r="E20" s="204" t="s">
        <v>5008</v>
      </c>
      <c r="F20" s="208" t="s">
        <v>1532</v>
      </c>
      <c r="G20" s="207"/>
      <c r="H20" s="207"/>
      <c r="I20" s="204" t="s">
        <v>24</v>
      </c>
      <c r="J20" s="204" t="s">
        <v>5018</v>
      </c>
      <c r="K20" s="205" t="s">
        <v>5019</v>
      </c>
      <c r="L20" s="204" t="s">
        <v>4957</v>
      </c>
      <c r="M20" s="138"/>
      <c r="N20" s="204" t="s">
        <v>326</v>
      </c>
      <c r="O20" s="25"/>
    </row>
    <row r="21">
      <c r="A21" s="204">
        <v>1754.0</v>
      </c>
      <c r="B21" s="214" t="s">
        <v>5020</v>
      </c>
      <c r="C21" s="2" t="str">
        <f>IFERROR(__xludf.DUMMYFUNCTION("googletranslate(B21)"),"The Feed-in Tariffs (Amendment) (Coronavirus) Order 2020")</f>
        <v>The Feed-in Tariffs (Amendment) (Coronavirus) Order 2020</v>
      </c>
      <c r="D21" s="204" t="s">
        <v>5007</v>
      </c>
      <c r="E21" s="204" t="s">
        <v>5008</v>
      </c>
      <c r="F21" s="204" t="s">
        <v>1340</v>
      </c>
      <c r="G21" s="204"/>
      <c r="H21" s="204">
        <v>2020.0</v>
      </c>
      <c r="I21" s="204" t="s">
        <v>24</v>
      </c>
      <c r="J21" s="204" t="s">
        <v>5021</v>
      </c>
      <c r="K21" s="205" t="s">
        <v>5022</v>
      </c>
      <c r="L21" s="204" t="s">
        <v>4957</v>
      </c>
      <c r="M21" s="138"/>
      <c r="N21" s="204" t="s">
        <v>839</v>
      </c>
      <c r="O21" s="25"/>
    </row>
    <row r="22">
      <c r="A22" s="204">
        <v>1755.0</v>
      </c>
      <c r="B22" s="2" t="s">
        <v>5023</v>
      </c>
      <c r="C22" s="2" t="str">
        <f>IFERROR(__xludf.DUMMYFUNCTION("googletranslate(B22)"),"Climate Change Act 2008")</f>
        <v>Climate Change Act 2008</v>
      </c>
      <c r="D22" s="204" t="s">
        <v>5007</v>
      </c>
      <c r="E22" s="204" t="s">
        <v>5008</v>
      </c>
      <c r="F22" s="204" t="s">
        <v>45</v>
      </c>
      <c r="G22" s="204"/>
      <c r="H22" s="204">
        <v>2008.0</v>
      </c>
      <c r="I22" s="204" t="s">
        <v>24</v>
      </c>
      <c r="J22" s="204" t="s">
        <v>5024</v>
      </c>
      <c r="K22" s="205" t="s">
        <v>5025</v>
      </c>
      <c r="L22" s="204" t="s">
        <v>4957</v>
      </c>
      <c r="M22" s="138"/>
      <c r="N22" s="204" t="s">
        <v>839</v>
      </c>
      <c r="O22" s="25"/>
    </row>
    <row r="23">
      <c r="A23" s="204">
        <v>1755.0</v>
      </c>
      <c r="B23" s="2" t="s">
        <v>5026</v>
      </c>
      <c r="C23" s="2" t="str">
        <f>IFERROR(__xludf.DUMMYFUNCTION("googletranslate(B23)"),"The Sixth Carbon Budget")</f>
        <v>The Sixth Carbon Budget</v>
      </c>
      <c r="D23" s="204" t="s">
        <v>5007</v>
      </c>
      <c r="E23" s="204" t="s">
        <v>5008</v>
      </c>
      <c r="F23" s="208" t="s">
        <v>45</v>
      </c>
      <c r="G23" s="204"/>
      <c r="H23" s="204">
        <v>2020.0</v>
      </c>
      <c r="I23" s="204" t="s">
        <v>24</v>
      </c>
      <c r="J23" s="204" t="s">
        <v>5027</v>
      </c>
      <c r="K23" s="205" t="s">
        <v>5028</v>
      </c>
      <c r="L23" s="204" t="s">
        <v>4957</v>
      </c>
      <c r="M23" s="138"/>
      <c r="N23" s="204" t="s">
        <v>326</v>
      </c>
      <c r="O23" s="25"/>
    </row>
    <row r="24">
      <c r="A24" s="204">
        <v>1765.0</v>
      </c>
      <c r="B24" s="2" t="s">
        <v>5029</v>
      </c>
      <c r="C24" s="2" t="str">
        <f>IFERROR(__xludf.DUMMYFUNCTION("googletranslate(B24)"),"Energy Act 2013")</f>
        <v>Energy Act 2013</v>
      </c>
      <c r="D24" s="204" t="s">
        <v>5007</v>
      </c>
      <c r="E24" s="204" t="s">
        <v>5008</v>
      </c>
      <c r="F24" s="204" t="s">
        <v>45</v>
      </c>
      <c r="G24" s="204"/>
      <c r="H24" s="204">
        <v>2013.0</v>
      </c>
      <c r="I24" s="204" t="s">
        <v>24</v>
      </c>
      <c r="J24" s="204" t="s">
        <v>5030</v>
      </c>
      <c r="K24" s="205" t="s">
        <v>5031</v>
      </c>
      <c r="L24" s="204" t="s">
        <v>4957</v>
      </c>
      <c r="M24" s="138"/>
      <c r="N24" s="204" t="s">
        <v>839</v>
      </c>
      <c r="O24" s="25"/>
    </row>
    <row r="25">
      <c r="A25" s="204">
        <v>1765.0</v>
      </c>
      <c r="B25" s="2" t="s">
        <v>5032</v>
      </c>
      <c r="C25" s="2" t="str">
        <f>IFERROR(__xludf.DUMMYFUNCTION("googletranslate(B25)"),"Contracts for Difference")</f>
        <v>Contracts for Difference</v>
      </c>
      <c r="D25" s="204" t="s">
        <v>5007</v>
      </c>
      <c r="E25" s="204" t="s">
        <v>5008</v>
      </c>
      <c r="F25" s="208" t="s">
        <v>407</v>
      </c>
      <c r="G25" s="207"/>
      <c r="H25" s="207"/>
      <c r="I25" s="204" t="s">
        <v>24</v>
      </c>
      <c r="J25" s="204" t="s">
        <v>5033</v>
      </c>
      <c r="K25" s="205" t="s">
        <v>5034</v>
      </c>
      <c r="L25" s="204" t="s">
        <v>4957</v>
      </c>
      <c r="M25" s="138"/>
      <c r="N25" s="204" t="s">
        <v>37</v>
      </c>
      <c r="O25" s="25"/>
    </row>
    <row r="26">
      <c r="A26" s="204">
        <v>1766.0</v>
      </c>
      <c r="B26" s="214" t="s">
        <v>5035</v>
      </c>
      <c r="C26" s="2" t="str">
        <f>IFERROR(__xludf.DUMMYFUNCTION("googletranslate(B26)"),"The Climate Change Agreements (Administration and Eligible Facilities) (Amendment) Regulations 2020")</f>
        <v>The Climate Change Agreements (Administration and Eligible Facilities) (Amendment) Regulations 2020</v>
      </c>
      <c r="D26" s="204" t="s">
        <v>5007</v>
      </c>
      <c r="E26" s="204" t="s">
        <v>5008</v>
      </c>
      <c r="F26" s="204" t="s">
        <v>34</v>
      </c>
      <c r="G26" s="204"/>
      <c r="H26" s="204">
        <v>2020.0</v>
      </c>
      <c r="I26" s="204" t="s">
        <v>24</v>
      </c>
      <c r="J26" s="204" t="s">
        <v>5036</v>
      </c>
      <c r="K26" s="205" t="s">
        <v>5037</v>
      </c>
      <c r="L26" s="204" t="s">
        <v>4957</v>
      </c>
      <c r="M26" s="138"/>
      <c r="N26" s="204" t="s">
        <v>839</v>
      </c>
      <c r="O26" s="25"/>
    </row>
    <row r="27">
      <c r="A27" s="204">
        <v>1766.0</v>
      </c>
      <c r="B27" s="2" t="s">
        <v>5038</v>
      </c>
      <c r="C27" s="2" t="str">
        <f>IFERROR(__xludf.DUMMYFUNCTION("googletranslate(B27)"),"Climate Change Agreements")</f>
        <v>Climate Change Agreements</v>
      </c>
      <c r="D27" s="204" t="s">
        <v>5007</v>
      </c>
      <c r="E27" s="204" t="s">
        <v>5008</v>
      </c>
      <c r="F27" s="208" t="s">
        <v>407</v>
      </c>
      <c r="G27" s="208"/>
      <c r="H27" s="208">
        <v>2014.0</v>
      </c>
      <c r="I27" s="204" t="s">
        <v>24</v>
      </c>
      <c r="J27" s="204" t="s">
        <v>5039</v>
      </c>
      <c r="K27" s="205" t="s">
        <v>5040</v>
      </c>
      <c r="L27" s="204" t="s">
        <v>4957</v>
      </c>
      <c r="M27" s="138"/>
      <c r="N27" s="204" t="s">
        <v>92</v>
      </c>
      <c r="O27" s="25"/>
    </row>
    <row r="28">
      <c r="A28" s="204">
        <v>1767.0</v>
      </c>
      <c r="B28" s="2" t="s">
        <v>5041</v>
      </c>
      <c r="C28" s="2" t="str">
        <f>IFERROR(__xludf.DUMMYFUNCTION("googletranslate(B28)"),"Finance Act 2000 - Schedule 6: Climate Change Levy")</f>
        <v>Finance Act 2000 - Schedule 6: Climate Change Levy</v>
      </c>
      <c r="D28" s="204" t="s">
        <v>5007</v>
      </c>
      <c r="E28" s="204" t="s">
        <v>5008</v>
      </c>
      <c r="F28" s="204" t="s">
        <v>45</v>
      </c>
      <c r="G28" s="204"/>
      <c r="H28" s="204">
        <v>2000.0</v>
      </c>
      <c r="I28" s="204" t="s">
        <v>24</v>
      </c>
      <c r="J28" s="204" t="s">
        <v>5042</v>
      </c>
      <c r="K28" s="205" t="s">
        <v>5043</v>
      </c>
      <c r="L28" s="204" t="s">
        <v>4957</v>
      </c>
      <c r="M28" s="138"/>
      <c r="N28" s="204" t="s">
        <v>23</v>
      </c>
      <c r="O28" s="25"/>
    </row>
    <row r="29">
      <c r="A29" s="204">
        <v>1767.0</v>
      </c>
      <c r="B29" s="198" t="s">
        <v>5044</v>
      </c>
      <c r="C29" s="2" t="str">
        <f>IFERROR(__xludf.DUMMYFUNCTION("googletranslate(B29)"),"The Climate Change Levy (Registration and Miscellaneous Provisions) Regulations 2001")</f>
        <v>The Climate Change Levy (Registration and Miscellaneous Provisions) Regulations 2001</v>
      </c>
      <c r="D29" s="204" t="s">
        <v>5007</v>
      </c>
      <c r="E29" s="204" t="s">
        <v>5008</v>
      </c>
      <c r="F29" s="204" t="s">
        <v>34</v>
      </c>
      <c r="G29" s="204"/>
      <c r="H29" s="204">
        <v>2001.0</v>
      </c>
      <c r="I29" s="204" t="s">
        <v>24</v>
      </c>
      <c r="J29" s="204" t="s">
        <v>5045</v>
      </c>
      <c r="K29" s="205" t="s">
        <v>5046</v>
      </c>
      <c r="L29" s="204" t="s">
        <v>4957</v>
      </c>
      <c r="M29" s="138"/>
      <c r="N29" s="204" t="s">
        <v>23</v>
      </c>
      <c r="O29" s="25"/>
    </row>
    <row r="30">
      <c r="A30" s="204">
        <v>2045.0</v>
      </c>
      <c r="B30" s="2" t="s">
        <v>5047</v>
      </c>
      <c r="C30" s="2" t="str">
        <f>IFERROR(__xludf.DUMMYFUNCTION("googletranslate(B30)"),"Energy Act 2016 - Chapter 20")</f>
        <v>Energy Act 2016 - Chapter 20</v>
      </c>
      <c r="D30" s="204" t="s">
        <v>5007</v>
      </c>
      <c r="E30" s="204" t="s">
        <v>5008</v>
      </c>
      <c r="F30" s="204" t="s">
        <v>45</v>
      </c>
      <c r="G30" s="204"/>
      <c r="H30" s="204">
        <v>2016.0</v>
      </c>
      <c r="I30" s="204" t="s">
        <v>24</v>
      </c>
      <c r="J30" s="204" t="s">
        <v>5048</v>
      </c>
      <c r="K30" s="205" t="s">
        <v>5049</v>
      </c>
      <c r="L30" s="204" t="s">
        <v>4957</v>
      </c>
      <c r="M30" s="138"/>
      <c r="N30" s="204" t="s">
        <v>23</v>
      </c>
      <c r="O30" s="25"/>
    </row>
    <row r="31">
      <c r="A31" s="204">
        <v>2045.0</v>
      </c>
      <c r="B31" s="2" t="s">
        <v>5050</v>
      </c>
      <c r="C31" s="2" t="str">
        <f>IFERROR(__xludf.DUMMYFUNCTION("googletranslate(B31)"),"Revised Oil &amp; Gas Authority Strategy comes into force")</f>
        <v>Revised Oil &amp; Gas Authority Strategy comes into force</v>
      </c>
      <c r="D31" s="204" t="s">
        <v>5007</v>
      </c>
      <c r="E31" s="204" t="s">
        <v>5008</v>
      </c>
      <c r="F31" s="208" t="s">
        <v>295</v>
      </c>
      <c r="G31" s="204"/>
      <c r="H31" s="204">
        <v>2021.0</v>
      </c>
      <c r="I31" s="204" t="s">
        <v>24</v>
      </c>
      <c r="J31" s="204" t="s">
        <v>5051</v>
      </c>
      <c r="K31" s="205" t="s">
        <v>5052</v>
      </c>
      <c r="L31" s="204" t="s">
        <v>4957</v>
      </c>
      <c r="M31" s="138"/>
      <c r="N31" s="204" t="s">
        <v>92</v>
      </c>
      <c r="O31" s="25"/>
    </row>
    <row r="32">
      <c r="A32" s="204">
        <v>9460.0</v>
      </c>
      <c r="B32" s="2" t="s">
        <v>5053</v>
      </c>
      <c r="C32" s="2" t="str">
        <f>IFERROR(__xludf.DUMMYFUNCTION("googletranslate(B32)"),"Cycling and Walking Investment Strategy")</f>
        <v>Cycling and Walking Investment Strategy</v>
      </c>
      <c r="D32" s="204" t="s">
        <v>5007</v>
      </c>
      <c r="E32" s="204" t="s">
        <v>5008</v>
      </c>
      <c r="F32" s="204" t="s">
        <v>144</v>
      </c>
      <c r="G32" s="204"/>
      <c r="H32" s="204">
        <v>2017.0</v>
      </c>
      <c r="I32" s="204" t="s">
        <v>24</v>
      </c>
      <c r="J32" s="204" t="s">
        <v>5054</v>
      </c>
      <c r="K32" s="205" t="s">
        <v>5055</v>
      </c>
      <c r="L32" s="204" t="s">
        <v>4957</v>
      </c>
      <c r="M32" s="138"/>
      <c r="N32" s="204" t="s">
        <v>23</v>
      </c>
      <c r="O32" s="25"/>
    </row>
    <row r="33">
      <c r="A33" s="204">
        <v>9460.0</v>
      </c>
      <c r="B33" s="213" t="s">
        <v>5056</v>
      </c>
      <c r="C33" s="2" t="str">
        <f>IFERROR(__xludf.DUMMYFUNCTION("googletranslate(B33)"),"£2 billion package to create new era for cycling and walking")</f>
        <v>£2 billion package to create new era for cycling and walking</v>
      </c>
      <c r="D33" s="204" t="s">
        <v>5007</v>
      </c>
      <c r="E33" s="204" t="s">
        <v>5008</v>
      </c>
      <c r="F33" s="208" t="s">
        <v>295</v>
      </c>
      <c r="G33" s="204"/>
      <c r="H33" s="204">
        <v>2020.0</v>
      </c>
      <c r="I33" s="204" t="s">
        <v>24</v>
      </c>
      <c r="J33" s="204" t="s">
        <v>5057</v>
      </c>
      <c r="K33" s="205" t="s">
        <v>5058</v>
      </c>
      <c r="L33" s="204" t="s">
        <v>4957</v>
      </c>
      <c r="M33" s="138"/>
      <c r="N33" s="204" t="s">
        <v>92</v>
      </c>
      <c r="O33" s="25"/>
    </row>
    <row r="34">
      <c r="A34" s="204">
        <v>9487.0</v>
      </c>
      <c r="B34" s="1" t="s">
        <v>5059</v>
      </c>
      <c r="C34" s="2" t="str">
        <f>IFERROR(__xludf.DUMMYFUNCTION("googletranslate(B34)"),"Gear Change: A bold vision for cycling and walking")</f>
        <v>Gear Change: A bold vision for cycling and walking</v>
      </c>
      <c r="D34" s="204" t="s">
        <v>5007</v>
      </c>
      <c r="E34" s="204" t="s">
        <v>5008</v>
      </c>
      <c r="F34" s="204" t="s">
        <v>144</v>
      </c>
      <c r="G34" s="204"/>
      <c r="H34" s="204">
        <v>2020.0</v>
      </c>
      <c r="I34" s="204" t="s">
        <v>24</v>
      </c>
      <c r="J34" s="204" t="s">
        <v>5060</v>
      </c>
      <c r="K34" s="205" t="s">
        <v>5061</v>
      </c>
      <c r="L34" s="204" t="s">
        <v>4957</v>
      </c>
      <c r="M34" s="138"/>
      <c r="N34" s="204" t="s">
        <v>23</v>
      </c>
      <c r="O34" s="25"/>
    </row>
    <row r="35">
      <c r="A35" s="204">
        <v>9487.0</v>
      </c>
      <c r="B35" s="213" t="s">
        <v>5062</v>
      </c>
      <c r="C35" s="2" t="str">
        <f>IFERROR(__xludf.DUMMYFUNCTION("googletranslate(B35)"),"PM kickstarts £2bn cycling and walking revolution")</f>
        <v>PM kickstarts £2bn cycling and walking revolution</v>
      </c>
      <c r="D35" s="204" t="s">
        <v>5007</v>
      </c>
      <c r="E35" s="204" t="s">
        <v>5008</v>
      </c>
      <c r="F35" s="208" t="s">
        <v>295</v>
      </c>
      <c r="G35" s="204"/>
      <c r="H35" s="204">
        <v>2020.0</v>
      </c>
      <c r="I35" s="204" t="s">
        <v>24</v>
      </c>
      <c r="J35" s="204" t="s">
        <v>5063</v>
      </c>
      <c r="K35" s="205" t="s">
        <v>5064</v>
      </c>
      <c r="L35" s="204" t="s">
        <v>4957</v>
      </c>
      <c r="M35" s="138"/>
      <c r="N35" s="204" t="s">
        <v>92</v>
      </c>
      <c r="O35" s="25"/>
    </row>
    <row r="36">
      <c r="A36" s="204">
        <v>9743.0</v>
      </c>
      <c r="B36" s="215" t="s">
        <v>5065</v>
      </c>
      <c r="C36" s="2" t="str">
        <f>IFERROR(__xludf.DUMMYFUNCTION("googletranslate(B36)"),"Infrastructure Act 2015")</f>
        <v>Infrastructure Act 2015</v>
      </c>
      <c r="D36" s="204" t="s">
        <v>5007</v>
      </c>
      <c r="E36" s="204" t="s">
        <v>5008</v>
      </c>
      <c r="F36" s="204" t="s">
        <v>45</v>
      </c>
      <c r="G36" s="204"/>
      <c r="H36" s="204">
        <v>2015.0</v>
      </c>
      <c r="I36" s="204" t="s">
        <v>24</v>
      </c>
      <c r="J36" s="204" t="s">
        <v>5066</v>
      </c>
      <c r="K36" s="205" t="s">
        <v>5067</v>
      </c>
      <c r="L36" s="204" t="s">
        <v>4957</v>
      </c>
      <c r="M36" s="138"/>
      <c r="N36" s="204" t="s">
        <v>839</v>
      </c>
      <c r="O36" s="25"/>
    </row>
    <row r="37">
      <c r="A37" s="204">
        <v>9743.0</v>
      </c>
      <c r="B37" s="2" t="s">
        <v>5068</v>
      </c>
      <c r="C37" s="2" t="str">
        <f>IFERROR(__xludf.DUMMYFUNCTION("googletranslate(B37)"),"Infrastructure Act 2015 - Chapter 7")</f>
        <v>Infrastructure Act 2015 - Chapter 7</v>
      </c>
      <c r="D37" s="204" t="s">
        <v>5007</v>
      </c>
      <c r="E37" s="204" t="s">
        <v>5008</v>
      </c>
      <c r="F37" s="204" t="s">
        <v>45</v>
      </c>
      <c r="G37" s="204"/>
      <c r="H37" s="204">
        <v>2015.0</v>
      </c>
      <c r="I37" s="204" t="s">
        <v>24</v>
      </c>
      <c r="J37" s="204" t="s">
        <v>5069</v>
      </c>
      <c r="K37" s="205" t="s">
        <v>5070</v>
      </c>
      <c r="L37" s="204" t="s">
        <v>4957</v>
      </c>
      <c r="M37" s="138"/>
      <c r="N37" s="204" t="s">
        <v>23</v>
      </c>
      <c r="O37" s="25"/>
    </row>
    <row r="38">
      <c r="A38" s="204">
        <v>9942.0</v>
      </c>
      <c r="B38" s="216" t="s">
        <v>5071</v>
      </c>
      <c r="C38" s="2" t="str">
        <f>IFERROR(__xludf.DUMMYFUNCTION("googletranslate(B38)"),"Streamlined Energy and Carbon Reporting (SECR) for academy trusts")</f>
        <v>Streamlined Energy and Carbon Reporting (SECR) for academy trusts</v>
      </c>
      <c r="D38" s="204" t="s">
        <v>5007</v>
      </c>
      <c r="E38" s="204" t="s">
        <v>5008</v>
      </c>
      <c r="F38" s="208" t="s">
        <v>34</v>
      </c>
      <c r="G38" s="207"/>
      <c r="H38" s="207"/>
      <c r="I38" s="204" t="s">
        <v>24</v>
      </c>
      <c r="J38" s="204" t="s">
        <v>5072</v>
      </c>
      <c r="K38" s="205" t="s">
        <v>5073</v>
      </c>
      <c r="L38" s="204" t="s">
        <v>4957</v>
      </c>
      <c r="M38" s="138"/>
      <c r="N38" s="204" t="s">
        <v>92</v>
      </c>
      <c r="O38" s="25"/>
    </row>
    <row r="39">
      <c r="A39" s="204">
        <v>9942.0</v>
      </c>
      <c r="B39" s="214" t="s">
        <v>5074</v>
      </c>
      <c r="C39" s="2" t="str">
        <f>IFERROR(__xludf.DUMMYFUNCTION("googletranslate(B39)"),"The Companies (Directors’ Report) and Limited Liability Partnerships (Energy and Carbon Report) Regulations 2018")</f>
        <v>The Companies (Directors’ Report) and Limited Liability Partnerships (Energy and Carbon Report) Regulations 2018</v>
      </c>
      <c r="D39" s="204" t="s">
        <v>5007</v>
      </c>
      <c r="E39" s="204" t="s">
        <v>5008</v>
      </c>
      <c r="F39" s="204" t="s">
        <v>34</v>
      </c>
      <c r="G39" s="204"/>
      <c r="H39" s="204">
        <v>2018.0</v>
      </c>
      <c r="I39" s="204" t="s">
        <v>24</v>
      </c>
      <c r="J39" s="204" t="s">
        <v>5075</v>
      </c>
      <c r="K39" s="205" t="s">
        <v>5076</v>
      </c>
      <c r="L39" s="204" t="s">
        <v>4957</v>
      </c>
      <c r="M39" s="138"/>
      <c r="N39" s="204" t="s">
        <v>839</v>
      </c>
      <c r="O39" s="25"/>
    </row>
    <row r="40">
      <c r="A40" s="204">
        <v>9957.0</v>
      </c>
      <c r="B40" s="2" t="s">
        <v>5077</v>
      </c>
      <c r="C40" s="2" t="str">
        <f>IFERROR(__xludf.DUMMYFUNCTION("googletranslate(B40)"),"Water Act 2014")</f>
        <v>Water Act 2014</v>
      </c>
      <c r="D40" s="204" t="s">
        <v>5007</v>
      </c>
      <c r="E40" s="204" t="s">
        <v>5008</v>
      </c>
      <c r="F40" s="204" t="s">
        <v>45</v>
      </c>
      <c r="G40" s="204"/>
      <c r="H40" s="204">
        <v>2014.0</v>
      </c>
      <c r="I40" s="204" t="s">
        <v>24</v>
      </c>
      <c r="J40" s="204" t="s">
        <v>5078</v>
      </c>
      <c r="K40" s="205" t="s">
        <v>5079</v>
      </c>
      <c r="L40" s="204" t="s">
        <v>4957</v>
      </c>
      <c r="M40" s="138"/>
      <c r="N40" s="204" t="s">
        <v>839</v>
      </c>
      <c r="O40" s="25"/>
    </row>
    <row r="41">
      <c r="A41" s="204">
        <v>10238.0</v>
      </c>
      <c r="B41" s="213" t="s">
        <v>5080</v>
      </c>
      <c r="C41" s="2" t="str">
        <f>IFERROR(__xludf.DUMMYFUNCTION("googletranslate(B41)"),"Net Zero Strategy: Build Back Greener")</f>
        <v>Net Zero Strategy: Build Back Greener</v>
      </c>
      <c r="D41" s="204" t="s">
        <v>5007</v>
      </c>
      <c r="E41" s="204" t="s">
        <v>5008</v>
      </c>
      <c r="F41" s="208" t="s">
        <v>144</v>
      </c>
      <c r="G41" s="204"/>
      <c r="H41" s="204">
        <v>2021.0</v>
      </c>
      <c r="I41" s="204" t="s">
        <v>24</v>
      </c>
      <c r="J41" s="204" t="s">
        <v>5081</v>
      </c>
      <c r="K41" s="205" t="s">
        <v>5082</v>
      </c>
      <c r="L41" s="204" t="s">
        <v>4957</v>
      </c>
      <c r="M41" s="138"/>
      <c r="N41" s="204" t="s">
        <v>37</v>
      </c>
      <c r="O41" s="25"/>
    </row>
    <row r="42">
      <c r="A42" s="204">
        <v>10238.0</v>
      </c>
      <c r="B42" s="213" t="s">
        <v>5080</v>
      </c>
      <c r="C42" s="2" t="str">
        <f>IFERROR(__xludf.DUMMYFUNCTION("googletranslate(B42)"),"Net Zero Strategy: Build Back Greener")</f>
        <v>Net Zero Strategy: Build Back Greener</v>
      </c>
      <c r="D42" s="204" t="s">
        <v>5007</v>
      </c>
      <c r="E42" s="204" t="s">
        <v>5008</v>
      </c>
      <c r="F42" s="204" t="s">
        <v>144</v>
      </c>
      <c r="G42" s="204"/>
      <c r="H42" s="204">
        <v>2021.0</v>
      </c>
      <c r="I42" s="204" t="s">
        <v>24</v>
      </c>
      <c r="J42" s="204" t="s">
        <v>5083</v>
      </c>
      <c r="K42" s="205" t="s">
        <v>5084</v>
      </c>
      <c r="L42" s="204" t="s">
        <v>4957</v>
      </c>
      <c r="M42" s="138"/>
      <c r="N42" s="204" t="s">
        <v>37</v>
      </c>
      <c r="O42" s="25"/>
    </row>
    <row r="43">
      <c r="A43" s="208">
        <v>9746.0</v>
      </c>
      <c r="B43" s="217" t="s">
        <v>5085</v>
      </c>
      <c r="C43" s="8" t="str">
        <f>IFERROR(__xludf.DUMMYFUNCTION("googletranslate(B43)"),"H.R. 133 (116th): H.R. 133: Consolidated Appropriations Act, 2021 [Including Coronavirus Stimulus &amp; Relief]")</f>
        <v>H.R. 133 (116th): H.R. 133: Consolidated Appropriations Act, 2021 [Including Coronavirus Stimulus &amp; Relief]</v>
      </c>
      <c r="D43" s="208" t="s">
        <v>5086</v>
      </c>
      <c r="E43" s="208" t="s">
        <v>5087</v>
      </c>
      <c r="F43" s="208" t="s">
        <v>45</v>
      </c>
      <c r="G43" s="207"/>
      <c r="H43" s="207"/>
      <c r="I43" s="208" t="s">
        <v>24</v>
      </c>
      <c r="J43" s="208" t="s">
        <v>5088</v>
      </c>
      <c r="K43" s="209" t="s">
        <v>5089</v>
      </c>
      <c r="L43" s="208" t="s">
        <v>4957</v>
      </c>
      <c r="M43" s="207"/>
      <c r="N43" s="208" t="s">
        <v>37</v>
      </c>
      <c r="O43" s="5"/>
      <c r="P43" s="3"/>
      <c r="Q43" s="3"/>
      <c r="R43" s="3"/>
      <c r="S43" s="3"/>
      <c r="T43" s="3"/>
      <c r="U43" s="3"/>
      <c r="V43" s="3"/>
      <c r="W43" s="3"/>
      <c r="X43" s="3"/>
      <c r="Y43" s="3"/>
      <c r="Z43" s="3"/>
      <c r="AA43" s="3"/>
      <c r="AB43" s="3"/>
    </row>
    <row r="44">
      <c r="A44" s="204">
        <v>9746.0</v>
      </c>
      <c r="B44" s="218" t="s">
        <v>5090</v>
      </c>
      <c r="C44" s="2" t="str">
        <f>IFERROR(__xludf.DUMMYFUNCTION("googletranslate(B44)"),"Final Rule - Phasedown of Hydrofluorocarbons: Establishing the Allowance Allocation and Trading Program under the AIM Act")</f>
        <v>Final Rule - Phasedown of Hydrofluorocarbons: Establishing the Allowance Allocation and Trading Program under the AIM Act</v>
      </c>
      <c r="D44" s="204" t="s">
        <v>5086</v>
      </c>
      <c r="E44" s="204" t="s">
        <v>5087</v>
      </c>
      <c r="F44" s="208" t="s">
        <v>5091</v>
      </c>
      <c r="G44" s="204"/>
      <c r="H44" s="204">
        <v>2021.0</v>
      </c>
      <c r="I44" s="204" t="s">
        <v>24</v>
      </c>
      <c r="J44" s="204" t="s">
        <v>5092</v>
      </c>
      <c r="K44" s="205" t="s">
        <v>5093</v>
      </c>
      <c r="L44" s="204" t="s">
        <v>4957</v>
      </c>
      <c r="M44" s="138"/>
      <c r="N44" s="204" t="s">
        <v>326</v>
      </c>
      <c r="O44" s="25"/>
    </row>
    <row r="45">
      <c r="A45" s="208">
        <v>9746.0</v>
      </c>
      <c r="B45" s="9" t="s">
        <v>5094</v>
      </c>
      <c r="C45" s="8" t="str">
        <f>IFERROR(__xludf.DUMMYFUNCTION("googletranslate(B45)"),"Environmental Protection Agency 40 CFR Parts 9 and 84")</f>
        <v>Environmental Protection Agency 40 CFR Parts 9 and 84</v>
      </c>
      <c r="D45" s="208" t="s">
        <v>5086</v>
      </c>
      <c r="E45" s="208" t="s">
        <v>5087</v>
      </c>
      <c r="F45" s="208" t="s">
        <v>850</v>
      </c>
      <c r="G45" s="204"/>
      <c r="H45" s="204">
        <v>2021.0</v>
      </c>
      <c r="I45" s="208" t="s">
        <v>24</v>
      </c>
      <c r="J45" s="208" t="s">
        <v>5095</v>
      </c>
      <c r="K45" s="209" t="s">
        <v>5096</v>
      </c>
      <c r="L45" s="208" t="s">
        <v>4957</v>
      </c>
      <c r="M45" s="207"/>
      <c r="N45" s="208" t="s">
        <v>23</v>
      </c>
      <c r="O45" s="5"/>
      <c r="P45" s="3"/>
      <c r="Q45" s="3"/>
      <c r="R45" s="3"/>
      <c r="S45" s="3"/>
      <c r="T45" s="3"/>
      <c r="U45" s="3"/>
      <c r="V45" s="3"/>
      <c r="W45" s="3"/>
      <c r="X45" s="3"/>
      <c r="Y45" s="3"/>
      <c r="Z45" s="3"/>
      <c r="AA45" s="3"/>
      <c r="AB45" s="3"/>
    </row>
    <row r="46">
      <c r="A46" s="204">
        <v>9748.0</v>
      </c>
      <c r="B46" s="219" t="s">
        <v>5097</v>
      </c>
      <c r="C46" s="2" t="str">
        <f>IFERROR(__xludf.DUMMYFUNCTION("googletranslate(B46)"),"Executive Order on Protecting Public Health and the Environment and Restoring Science to Tackle the Climate Crisis")</f>
        <v>Executive Order on Protecting Public Health and the Environment and Restoring Science to Tackle the Climate Crisis</v>
      </c>
      <c r="D46" s="204" t="s">
        <v>5086</v>
      </c>
      <c r="E46" s="204" t="s">
        <v>5087</v>
      </c>
      <c r="F46" s="204" t="s">
        <v>4477</v>
      </c>
      <c r="G46" s="204"/>
      <c r="H46" s="204">
        <v>2021.0</v>
      </c>
      <c r="I46" s="204" t="s">
        <v>24</v>
      </c>
      <c r="J46" s="204" t="s">
        <v>5098</v>
      </c>
      <c r="K46" s="205" t="s">
        <v>5099</v>
      </c>
      <c r="L46" s="204" t="s">
        <v>4957</v>
      </c>
      <c r="M46" s="138"/>
      <c r="N46" s="204" t="s">
        <v>326</v>
      </c>
      <c r="O46" s="25"/>
    </row>
    <row r="47">
      <c r="A47" s="220">
        <v>9748.0</v>
      </c>
      <c r="B47" s="221" t="s">
        <v>5100</v>
      </c>
      <c r="C47" s="2" t="str">
        <f>IFERROR(__xludf.DUMMYFUNCTION("googletranslate(B47)"),"Interior Department Suspends Oil and Gas Leases in Arctic National Wildlife Refuge")</f>
        <v>Interior Department Suspends Oil and Gas Leases in Arctic National Wildlife Refuge</v>
      </c>
      <c r="D47" s="220" t="s">
        <v>5086</v>
      </c>
      <c r="E47" s="220" t="s">
        <v>5087</v>
      </c>
      <c r="F47" s="208" t="s">
        <v>295</v>
      </c>
      <c r="G47" s="204"/>
      <c r="H47" s="204">
        <v>2021.0</v>
      </c>
      <c r="I47" s="220" t="s">
        <v>24</v>
      </c>
      <c r="J47" s="220" t="s">
        <v>5101</v>
      </c>
      <c r="K47" s="222" t="s">
        <v>5102</v>
      </c>
      <c r="L47" s="220" t="s">
        <v>4957</v>
      </c>
      <c r="M47" s="223"/>
      <c r="N47" s="220" t="s">
        <v>92</v>
      </c>
      <c r="O47" s="221"/>
      <c r="P47" s="17"/>
      <c r="Q47" s="17"/>
      <c r="R47" s="17"/>
      <c r="S47" s="17"/>
      <c r="T47" s="17"/>
      <c r="U47" s="17"/>
      <c r="V47" s="17"/>
      <c r="W47" s="17"/>
      <c r="X47" s="17"/>
      <c r="Y47" s="17"/>
      <c r="Z47" s="17"/>
      <c r="AA47" s="17"/>
      <c r="AB47" s="17"/>
    </row>
    <row r="48">
      <c r="A48" s="208">
        <v>10170.0</v>
      </c>
      <c r="B48" s="8" t="s">
        <v>5103</v>
      </c>
      <c r="C48" s="8" t="str">
        <f>IFERROR(__xludf.DUMMYFUNCTION("googletranslate(B48)"),"Executive Order on Strengthening American Leadership in Clean Cars and Trucks")</f>
        <v>Executive Order on Strengthening American Leadership in Clean Cars and Trucks</v>
      </c>
      <c r="D48" s="208" t="s">
        <v>5086</v>
      </c>
      <c r="E48" s="208" t="s">
        <v>5087</v>
      </c>
      <c r="F48" s="208" t="s">
        <v>4477</v>
      </c>
      <c r="G48" s="208"/>
      <c r="H48" s="208">
        <v>2021.0</v>
      </c>
      <c r="I48" s="208" t="s">
        <v>24</v>
      </c>
      <c r="J48" s="208" t="s">
        <v>5104</v>
      </c>
      <c r="K48" s="224" t="s">
        <v>5105</v>
      </c>
      <c r="L48" s="208" t="s">
        <v>4957</v>
      </c>
      <c r="M48" s="207"/>
      <c r="N48" s="208" t="s">
        <v>326</v>
      </c>
      <c r="O48" s="8" t="s">
        <v>5106</v>
      </c>
      <c r="P48" s="3"/>
      <c r="Q48" s="3"/>
      <c r="R48" s="3"/>
      <c r="S48" s="3"/>
      <c r="T48" s="3"/>
      <c r="U48" s="3"/>
      <c r="V48" s="3"/>
      <c r="W48" s="3"/>
      <c r="X48" s="3"/>
      <c r="Y48" s="3"/>
      <c r="Z48" s="3"/>
      <c r="AA48" s="3"/>
      <c r="AB48" s="3"/>
    </row>
    <row r="49">
      <c r="A49" s="208">
        <v>10170.0</v>
      </c>
      <c r="B49" s="8" t="s">
        <v>5107</v>
      </c>
      <c r="C49" s="8" t="str">
        <f>IFERROR(__xludf.DUMMYFUNCTION("googletranslate(B49)"),"Revised 2023 and Later Model Year Light-Duty Vehicle Greenhouse Gas Emissions Standards")</f>
        <v>Revised 2023 and Later Model Year Light-Duty Vehicle Greenhouse Gas Emissions Standards</v>
      </c>
      <c r="D49" s="208" t="s">
        <v>5086</v>
      </c>
      <c r="E49" s="208" t="s">
        <v>5087</v>
      </c>
      <c r="F49" s="208" t="s">
        <v>372</v>
      </c>
      <c r="G49" s="208"/>
      <c r="H49" s="208">
        <v>2021.0</v>
      </c>
      <c r="I49" s="208" t="s">
        <v>24</v>
      </c>
      <c r="J49" s="208" t="s">
        <v>5108</v>
      </c>
      <c r="K49" s="209" t="s">
        <v>5109</v>
      </c>
      <c r="L49" s="208" t="s">
        <v>4957</v>
      </c>
      <c r="M49" s="207"/>
      <c r="N49" s="208" t="s">
        <v>5110</v>
      </c>
      <c r="O49" s="8" t="s">
        <v>5111</v>
      </c>
      <c r="P49" s="3"/>
      <c r="Q49" s="3"/>
      <c r="R49" s="3"/>
      <c r="S49" s="3"/>
      <c r="T49" s="3"/>
      <c r="U49" s="3"/>
      <c r="V49" s="3"/>
      <c r="W49" s="3"/>
      <c r="X49" s="3"/>
      <c r="Y49" s="3"/>
      <c r="Z49" s="3"/>
      <c r="AA49" s="3"/>
      <c r="AB49" s="3"/>
    </row>
    <row r="50">
      <c r="A50" s="208">
        <v>10383.0</v>
      </c>
      <c r="B50" s="8" t="s">
        <v>5112</v>
      </c>
      <c r="C50" s="8" t="str">
        <f>IFERROR(__xludf.DUMMYFUNCTION("googletranslate(B50)"),"Executive Order on Catalyzing Clean Energy Industries and Jobs Through Federal Sustainability")</f>
        <v>Executive Order on Catalyzing Clean Energy Industries and Jobs Through Federal Sustainability</v>
      </c>
      <c r="D50" s="208" t="s">
        <v>5086</v>
      </c>
      <c r="E50" s="208" t="s">
        <v>5087</v>
      </c>
      <c r="F50" s="208" t="s">
        <v>4477</v>
      </c>
      <c r="G50" s="208"/>
      <c r="H50" s="208">
        <v>2021.0</v>
      </c>
      <c r="I50" s="208" t="s">
        <v>24</v>
      </c>
      <c r="J50" s="208" t="s">
        <v>5113</v>
      </c>
      <c r="K50" s="209" t="s">
        <v>5114</v>
      </c>
      <c r="L50" s="208" t="s">
        <v>4957</v>
      </c>
      <c r="M50" s="207"/>
      <c r="N50" s="208" t="s">
        <v>326</v>
      </c>
      <c r="O50" s="8" t="s">
        <v>5106</v>
      </c>
      <c r="P50" s="3"/>
      <c r="Q50" s="3"/>
      <c r="R50" s="3"/>
      <c r="S50" s="3"/>
      <c r="T50" s="3"/>
      <c r="U50" s="3"/>
      <c r="V50" s="3"/>
      <c r="W50" s="3"/>
      <c r="X50" s="3"/>
      <c r="Y50" s="3"/>
      <c r="Z50" s="3"/>
      <c r="AA50" s="3"/>
      <c r="AB50" s="3"/>
    </row>
    <row r="51">
      <c r="A51" s="204">
        <v>10383.0</v>
      </c>
      <c r="B51" s="2" t="s">
        <v>5115</v>
      </c>
      <c r="C51" s="2" t="str">
        <f>IFERROR(__xludf.DUMMYFUNCTION("googletranslate(B51)"),"Federal Sustainability Plan: Catalyzing America's Clean Energy Industries and Jobs")</f>
        <v>Federal Sustainability Plan: Catalyzing America's Clean Energy Industries and Jobs</v>
      </c>
      <c r="D51" s="204" t="s">
        <v>5086</v>
      </c>
      <c r="E51" s="204" t="s">
        <v>5087</v>
      </c>
      <c r="F51" s="204" t="s">
        <v>234</v>
      </c>
      <c r="G51" s="204"/>
      <c r="H51" s="204">
        <v>2021.0</v>
      </c>
      <c r="I51" s="204" t="s">
        <v>24</v>
      </c>
      <c r="J51" s="204" t="s">
        <v>5116</v>
      </c>
      <c r="K51" s="205" t="s">
        <v>5117</v>
      </c>
      <c r="L51" s="204" t="s">
        <v>4957</v>
      </c>
      <c r="M51" s="138"/>
      <c r="N51" s="204" t="s">
        <v>23</v>
      </c>
      <c r="O51" s="25"/>
    </row>
    <row r="52">
      <c r="A52" s="208">
        <v>10383.0</v>
      </c>
      <c r="B52" s="8" t="s">
        <v>5118</v>
      </c>
      <c r="C52" s="8" t="str">
        <f>IFERROR(__xludf.DUMMYFUNCTION("googletranslate(B52)"),"Federal Sustainability Plan")</f>
        <v>Federal Sustainability Plan</v>
      </c>
      <c r="D52" s="208" t="s">
        <v>5086</v>
      </c>
      <c r="E52" s="208" t="s">
        <v>5087</v>
      </c>
      <c r="F52" s="208" t="s">
        <v>234</v>
      </c>
      <c r="G52" s="207"/>
      <c r="H52" s="207"/>
      <c r="I52" s="208" t="s">
        <v>24</v>
      </c>
      <c r="J52" s="208" t="s">
        <v>5119</v>
      </c>
      <c r="K52" s="209" t="s">
        <v>5120</v>
      </c>
      <c r="L52" s="208" t="s">
        <v>4957</v>
      </c>
      <c r="M52" s="207"/>
      <c r="N52" s="208" t="s">
        <v>326</v>
      </c>
      <c r="O52" s="8" t="s">
        <v>5121</v>
      </c>
      <c r="P52" s="3"/>
      <c r="Q52" s="3"/>
      <c r="R52" s="3"/>
      <c r="S52" s="3"/>
      <c r="T52" s="3"/>
      <c r="U52" s="3"/>
      <c r="V52" s="3"/>
      <c r="W52" s="3"/>
      <c r="X52" s="3"/>
      <c r="Y52" s="3"/>
      <c r="Z52" s="3"/>
      <c r="AA52" s="3"/>
      <c r="AB52" s="3"/>
    </row>
    <row r="53">
      <c r="A53" s="204">
        <v>1783.0</v>
      </c>
      <c r="B53" s="2" t="s">
        <v>5122</v>
      </c>
      <c r="C53" s="2" t="str">
        <f>IFERROR(__xludf.DUMMYFUNCTION("googletranslate(B53)"),"Environmental Management and Conservation Act No.12 of 2002 (Consolidated Edition 2004)")</f>
        <v>Environmental Management and Conservation Act No.12 of 2002 (Consolidated Edition 2004)</v>
      </c>
      <c r="D53" s="204" t="s">
        <v>5123</v>
      </c>
      <c r="E53" s="204" t="s">
        <v>5124</v>
      </c>
      <c r="F53" s="204" t="s">
        <v>45</v>
      </c>
      <c r="G53" s="204"/>
      <c r="H53" s="204">
        <v>2004.0</v>
      </c>
      <c r="I53" s="204" t="s">
        <v>24</v>
      </c>
      <c r="J53" s="204" t="s">
        <v>5125</v>
      </c>
      <c r="K53" s="205" t="s">
        <v>5126</v>
      </c>
      <c r="L53" s="204" t="s">
        <v>4957</v>
      </c>
      <c r="M53" s="138"/>
      <c r="N53" s="204" t="s">
        <v>23</v>
      </c>
      <c r="O53" s="25"/>
    </row>
    <row r="54">
      <c r="A54" s="204">
        <v>1783.0</v>
      </c>
      <c r="B54" s="2" t="s">
        <v>5127</v>
      </c>
      <c r="C54" s="2" t="str">
        <f>IFERROR(__xludf.DUMMYFUNCTION("googletranslate(B54)"),"Environmental Management and Conservation (Amendment) Act No. 28 of 2010")</f>
        <v>Environmental Management and Conservation (Amendment) Act No. 28 of 2010</v>
      </c>
      <c r="D54" s="204" t="s">
        <v>5123</v>
      </c>
      <c r="E54" s="204" t="s">
        <v>5124</v>
      </c>
      <c r="F54" s="204" t="s">
        <v>45</v>
      </c>
      <c r="G54" s="204"/>
      <c r="H54" s="204">
        <v>2010.0</v>
      </c>
      <c r="I54" s="204" t="s">
        <v>24</v>
      </c>
      <c r="J54" s="204" t="s">
        <v>5128</v>
      </c>
      <c r="K54" s="205" t="s">
        <v>5129</v>
      </c>
      <c r="L54" s="204" t="s">
        <v>4957</v>
      </c>
      <c r="M54" s="138"/>
      <c r="N54" s="204" t="s">
        <v>23</v>
      </c>
      <c r="O54" s="25"/>
    </row>
    <row r="55">
      <c r="A55" s="208">
        <v>10421.0</v>
      </c>
      <c r="B55" s="8" t="s">
        <v>5130</v>
      </c>
      <c r="C55" s="8" t="str">
        <f>IFERROR(__xludf.DUMMYFUNCTION("googletranslate(B55)"),"Official Gazette of the Bolivarian Republic of Venezuela number 42,217")</f>
        <v>Official Gazette of the Bolivarian Republic of Venezuela number 42,217</v>
      </c>
      <c r="D55" s="208" t="s">
        <v>5131</v>
      </c>
      <c r="E55" s="208" t="s">
        <v>5132</v>
      </c>
      <c r="F55" s="208" t="s">
        <v>18</v>
      </c>
      <c r="G55" s="208"/>
      <c r="H55" s="208">
        <v>2021.0</v>
      </c>
      <c r="I55" s="208" t="s">
        <v>924</v>
      </c>
      <c r="J55" s="208" t="s">
        <v>5133</v>
      </c>
      <c r="K55" s="209" t="s">
        <v>5134</v>
      </c>
      <c r="L55" s="208" t="s">
        <v>4957</v>
      </c>
      <c r="M55" s="207"/>
      <c r="N55" s="208" t="s">
        <v>23</v>
      </c>
      <c r="O55" s="8" t="s">
        <v>5135</v>
      </c>
      <c r="P55" s="3"/>
      <c r="Q55" s="3"/>
      <c r="R55" s="3"/>
      <c r="S55" s="3"/>
      <c r="T55" s="3"/>
      <c r="U55" s="3"/>
      <c r="V55" s="3"/>
      <c r="W55" s="3"/>
      <c r="X55" s="3"/>
      <c r="Y55" s="3"/>
      <c r="Z55" s="3"/>
      <c r="AA55" s="3"/>
      <c r="AB55" s="3"/>
    </row>
    <row r="56">
      <c r="A56" s="208">
        <v>10421.0</v>
      </c>
      <c r="B56" s="8" t="s">
        <v>5136</v>
      </c>
      <c r="C56" s="8" t="str">
        <f>IFERROR(__xludf.DUMMYFUNCTION("googletranslate(B56)"),"Official Gazette of the Bolivarian Republic of Venezuela number 42,246")</f>
        <v>Official Gazette of the Bolivarian Republic of Venezuela number 42,246</v>
      </c>
      <c r="D56" s="208" t="s">
        <v>5131</v>
      </c>
      <c r="E56" s="208" t="s">
        <v>5132</v>
      </c>
      <c r="F56" s="208" t="s">
        <v>18</v>
      </c>
      <c r="G56" s="208"/>
      <c r="H56" s="208">
        <v>2021.0</v>
      </c>
      <c r="I56" s="208" t="s">
        <v>924</v>
      </c>
      <c r="J56" s="208" t="s">
        <v>5137</v>
      </c>
      <c r="K56" s="209" t="s">
        <v>5138</v>
      </c>
      <c r="L56" s="208" t="s">
        <v>4957</v>
      </c>
      <c r="M56" s="207"/>
      <c r="N56" s="208" t="s">
        <v>23</v>
      </c>
      <c r="O56" s="8" t="s">
        <v>5139</v>
      </c>
      <c r="P56" s="3"/>
      <c r="Q56" s="3"/>
      <c r="R56" s="3"/>
      <c r="S56" s="3"/>
      <c r="T56" s="3"/>
      <c r="U56" s="3"/>
      <c r="V56" s="3"/>
      <c r="W56" s="3"/>
      <c r="X56" s="3"/>
      <c r="Y56" s="3"/>
      <c r="Z56" s="3"/>
      <c r="AA56" s="3"/>
      <c r="AB56" s="3"/>
    </row>
    <row r="57">
      <c r="A57" s="204">
        <v>1791.0</v>
      </c>
      <c r="B57" s="2" t="s">
        <v>5140</v>
      </c>
      <c r="C57" s="2" t="str">
        <f>IFERROR(__xludf.DUMMYFUNCTION("googletranslate(B57)"),"Law on Natural Disaster Prevention and Control")</f>
        <v>Law on Natural Disaster Prevention and Control</v>
      </c>
      <c r="D57" s="204" t="s">
        <v>5141</v>
      </c>
      <c r="E57" s="204" t="s">
        <v>5142</v>
      </c>
      <c r="F57" s="204" t="s">
        <v>41</v>
      </c>
      <c r="G57" s="204"/>
      <c r="H57" s="204">
        <v>2013.0</v>
      </c>
      <c r="I57" s="204" t="s">
        <v>24</v>
      </c>
      <c r="J57" s="204" t="s">
        <v>5143</v>
      </c>
      <c r="K57" s="205" t="s">
        <v>5144</v>
      </c>
      <c r="L57" s="204" t="s">
        <v>4957</v>
      </c>
      <c r="M57" s="138"/>
      <c r="N57" s="204" t="s">
        <v>23</v>
      </c>
      <c r="O57" s="25"/>
    </row>
    <row r="58">
      <c r="A58" s="204">
        <v>1791.0</v>
      </c>
      <c r="B58" s="2" t="s">
        <v>5145</v>
      </c>
      <c r="C58" s="2" t="s">
        <v>5146</v>
      </c>
      <c r="D58" s="204" t="s">
        <v>5141</v>
      </c>
      <c r="E58" s="204" t="s">
        <v>5142</v>
      </c>
      <c r="F58" s="204" t="s">
        <v>18</v>
      </c>
      <c r="G58" s="204"/>
      <c r="H58" s="204">
        <v>2021.0</v>
      </c>
      <c r="I58" s="204" t="s">
        <v>5147</v>
      </c>
      <c r="J58" s="204" t="s">
        <v>5148</v>
      </c>
      <c r="K58" s="205" t="s">
        <v>5149</v>
      </c>
      <c r="L58" s="204" t="s">
        <v>4957</v>
      </c>
      <c r="M58" s="138"/>
      <c r="N58" s="204" t="s">
        <v>23</v>
      </c>
      <c r="O58" s="2" t="s">
        <v>5150</v>
      </c>
    </row>
    <row r="59">
      <c r="A59" s="204">
        <v>1792.0</v>
      </c>
      <c r="B59" s="206" t="s">
        <v>5151</v>
      </c>
      <c r="C59" s="2" t="str">
        <f>IFERROR(__xludf.DUMMYFUNCTION("GOOGLETRANSLATE(B59)"),"Resolution on proactive response to climate change, strengthening resource management and environmental protection")</f>
        <v>Resolution on proactive response to climate change, strengthening resource management and environmental protection</v>
      </c>
      <c r="D59" s="204" t="s">
        <v>5141</v>
      </c>
      <c r="E59" s="204" t="s">
        <v>5142</v>
      </c>
      <c r="F59" s="204" t="s">
        <v>137</v>
      </c>
      <c r="G59" s="204"/>
      <c r="H59" s="204">
        <v>2013.0</v>
      </c>
      <c r="I59" s="204" t="s">
        <v>5147</v>
      </c>
      <c r="J59" s="204" t="s">
        <v>5152</v>
      </c>
      <c r="K59" s="205" t="s">
        <v>5153</v>
      </c>
      <c r="L59" s="204" t="s">
        <v>4957</v>
      </c>
      <c r="M59" s="138"/>
      <c r="N59" s="204" t="s">
        <v>23</v>
      </c>
      <c r="O59" s="25"/>
    </row>
    <row r="60">
      <c r="A60" s="204">
        <v>1792.0</v>
      </c>
      <c r="B60" s="2" t="s">
        <v>5154</v>
      </c>
      <c r="C60" s="2"/>
      <c r="D60" s="204" t="s">
        <v>5141</v>
      </c>
      <c r="E60" s="204" t="s">
        <v>5142</v>
      </c>
      <c r="F60" s="204" t="s">
        <v>137</v>
      </c>
      <c r="G60" s="204"/>
      <c r="H60" s="204">
        <v>2013.0</v>
      </c>
      <c r="I60" s="204" t="s">
        <v>24</v>
      </c>
      <c r="J60" s="204" t="s">
        <v>5155</v>
      </c>
      <c r="K60" s="212" t="s">
        <v>5156</v>
      </c>
      <c r="L60" s="204" t="s">
        <v>4957</v>
      </c>
      <c r="M60" s="138"/>
      <c r="N60" s="204" t="s">
        <v>23</v>
      </c>
      <c r="O60" s="25"/>
    </row>
    <row r="61">
      <c r="A61" s="204">
        <v>1793.0</v>
      </c>
      <c r="B61" s="1" t="s">
        <v>5157</v>
      </c>
      <c r="C61" s="2" t="str">
        <f>IFERROR(__xludf.DUMMYFUNCTION("GOOGLETRANSLATE(B61)"),"The decision to approve the national green growth strategy")</f>
        <v>The decision to approve the national green growth strategy</v>
      </c>
      <c r="D61" s="204" t="s">
        <v>5141</v>
      </c>
      <c r="E61" s="204" t="s">
        <v>5142</v>
      </c>
      <c r="F61" s="204" t="s">
        <v>272</v>
      </c>
      <c r="G61" s="204"/>
      <c r="H61" s="204">
        <v>2012.0</v>
      </c>
      <c r="I61" s="204" t="s">
        <v>5147</v>
      </c>
      <c r="J61" s="204" t="s">
        <v>5158</v>
      </c>
      <c r="K61" s="205" t="s">
        <v>5159</v>
      </c>
      <c r="L61" s="204" t="s">
        <v>4957</v>
      </c>
      <c r="M61" s="138"/>
      <c r="N61" s="204" t="s">
        <v>23</v>
      </c>
      <c r="O61" s="25"/>
    </row>
    <row r="62">
      <c r="A62" s="204">
        <v>1793.0</v>
      </c>
      <c r="B62" s="2" t="s">
        <v>5160</v>
      </c>
      <c r="C62" s="2"/>
      <c r="D62" s="204" t="s">
        <v>5141</v>
      </c>
      <c r="E62" s="204" t="s">
        <v>5142</v>
      </c>
      <c r="F62" s="204" t="s">
        <v>272</v>
      </c>
      <c r="G62" s="204"/>
      <c r="H62" s="204">
        <v>2012.0</v>
      </c>
      <c r="I62" s="204" t="s">
        <v>24</v>
      </c>
      <c r="J62" s="204" t="s">
        <v>5161</v>
      </c>
      <c r="K62" s="205" t="s">
        <v>5162</v>
      </c>
      <c r="L62" s="204" t="s">
        <v>4957</v>
      </c>
      <c r="M62" s="138"/>
      <c r="N62" s="204" t="s">
        <v>23</v>
      </c>
      <c r="O62" s="25"/>
    </row>
    <row r="63">
      <c r="A63" s="204">
        <v>1793.0</v>
      </c>
      <c r="B63" s="2" t="s">
        <v>5163</v>
      </c>
      <c r="C63" s="2"/>
      <c r="D63" s="204" t="s">
        <v>5141</v>
      </c>
      <c r="E63" s="204" t="s">
        <v>5142</v>
      </c>
      <c r="F63" s="204" t="s">
        <v>272</v>
      </c>
      <c r="G63" s="204"/>
      <c r="H63" s="204">
        <v>2014.0</v>
      </c>
      <c r="I63" s="204" t="s">
        <v>24</v>
      </c>
      <c r="J63" s="204" t="s">
        <v>5164</v>
      </c>
      <c r="K63" s="205" t="s">
        <v>5165</v>
      </c>
      <c r="L63" s="204" t="s">
        <v>4957</v>
      </c>
      <c r="M63" s="138"/>
      <c r="N63" s="204" t="s">
        <v>23</v>
      </c>
      <c r="O63" s="25"/>
    </row>
    <row r="64">
      <c r="A64" s="204">
        <v>1793.0</v>
      </c>
      <c r="B64" s="2" t="s">
        <v>5166</v>
      </c>
      <c r="C64" s="2"/>
      <c r="D64" s="204" t="s">
        <v>5141</v>
      </c>
      <c r="E64" s="204" t="s">
        <v>5142</v>
      </c>
      <c r="F64" s="204" t="s">
        <v>272</v>
      </c>
      <c r="G64" s="204"/>
      <c r="H64" s="204">
        <v>2015.0</v>
      </c>
      <c r="I64" s="204" t="s">
        <v>24</v>
      </c>
      <c r="J64" s="204" t="s">
        <v>5167</v>
      </c>
      <c r="K64" s="205" t="s">
        <v>5168</v>
      </c>
      <c r="L64" s="204" t="s">
        <v>4957</v>
      </c>
      <c r="M64" s="138"/>
      <c r="N64" s="204" t="s">
        <v>48</v>
      </c>
      <c r="O64" s="2" t="s">
        <v>5169</v>
      </c>
    </row>
    <row r="65">
      <c r="A65" s="204">
        <v>1793.0</v>
      </c>
      <c r="B65" s="2" t="s">
        <v>5170</v>
      </c>
      <c r="C65" s="2"/>
      <c r="D65" s="204" t="s">
        <v>5141</v>
      </c>
      <c r="E65" s="204" t="s">
        <v>5142</v>
      </c>
      <c r="F65" s="204" t="s">
        <v>272</v>
      </c>
      <c r="G65" s="204"/>
      <c r="H65" s="204">
        <v>2017.0</v>
      </c>
      <c r="I65" s="204" t="s">
        <v>24</v>
      </c>
      <c r="J65" s="204" t="s">
        <v>5171</v>
      </c>
      <c r="K65" s="205" t="s">
        <v>5172</v>
      </c>
      <c r="L65" s="204" t="s">
        <v>4957</v>
      </c>
      <c r="M65" s="138"/>
      <c r="N65" s="204" t="s">
        <v>23</v>
      </c>
      <c r="O65" s="25"/>
    </row>
    <row r="66">
      <c r="A66" s="204">
        <v>1794.0</v>
      </c>
      <c r="B66" s="2" t="s">
        <v>5173</v>
      </c>
      <c r="C66" s="2" t="str">
        <f>IFERROR(__xludf.DUMMYFUNCTION("GOOGLETRANSLATE(B66)"),"The decision to approve the National Action Program on ""Reducing greenhouse gas emissions through efforts to limit forest loss and forest degradation, sustainable management of forest resources, conservation and improvement of forest carbon reserves"" Pe"&amp;"riod 2011 - 2020")</f>
        <v>The decision to approve the National Action Program on "Reducing greenhouse gas emissions through efforts to limit forest loss and forest degradation, sustainable management of forest resources, conservation and improvement of forest carbon reserves" Period 2011 - 2020</v>
      </c>
      <c r="D66" s="204" t="s">
        <v>5141</v>
      </c>
      <c r="E66" s="204" t="s">
        <v>5142</v>
      </c>
      <c r="F66" s="204" t="s">
        <v>272</v>
      </c>
      <c r="G66" s="204"/>
      <c r="H66" s="204">
        <v>2012.0</v>
      </c>
      <c r="I66" s="204" t="s">
        <v>5147</v>
      </c>
      <c r="J66" s="204" t="s">
        <v>5174</v>
      </c>
      <c r="K66" s="205" t="s">
        <v>5175</v>
      </c>
      <c r="L66" s="204" t="s">
        <v>4957</v>
      </c>
      <c r="M66" s="138"/>
      <c r="N66" s="204" t="s">
        <v>23</v>
      </c>
      <c r="O66" s="2" t="s">
        <v>5176</v>
      </c>
    </row>
    <row r="67">
      <c r="A67" s="204">
        <v>1794.0</v>
      </c>
      <c r="B67" s="2" t="s">
        <v>5177</v>
      </c>
      <c r="C67" s="2" t="str">
        <f>IFERROR(__xludf.DUMMYFUNCTION("GOOGLETRANSLATE(B67)"),"Decision On Approval of the National Action Program on Reduction of Greenhouse Gas Emissions through Efforts to Reduce Deforestation and Forest Degradation, Sustainable Management of Forest Resources, and Conservation and Enhancement of Forest Carbon Stoc"&amp;"ks 2011-2020")</f>
        <v>Decision On Approval of the National Action Program on Reduction of Greenhouse Gas Emissions through Efforts to Reduce Deforestation and Forest Degradation, Sustainable Management of Forest Resources, and Conservation and Enhancement of Forest Carbon Stocks 2011-2020</v>
      </c>
      <c r="D67" s="204" t="s">
        <v>5141</v>
      </c>
      <c r="E67" s="204" t="s">
        <v>5142</v>
      </c>
      <c r="F67" s="204" t="s">
        <v>272</v>
      </c>
      <c r="G67" s="204"/>
      <c r="H67" s="204">
        <v>2012.0</v>
      </c>
      <c r="I67" s="204" t="s">
        <v>24</v>
      </c>
      <c r="J67" s="204" t="s">
        <v>5178</v>
      </c>
      <c r="K67" s="205" t="s">
        <v>5179</v>
      </c>
      <c r="L67" s="204" t="s">
        <v>4957</v>
      </c>
      <c r="M67" s="138"/>
      <c r="N67" s="204" t="s">
        <v>23</v>
      </c>
      <c r="O67" s="25"/>
    </row>
    <row r="68">
      <c r="A68" s="204">
        <v>1794.0</v>
      </c>
      <c r="B68" s="2" t="s">
        <v>5180</v>
      </c>
      <c r="C68" s="2" t="str">
        <f>IFERROR(__xludf.DUMMYFUNCTION("GOOGLETRANSLATE(B68)"),"Decision On Approval of the National Action Programme on the Reduction of Greenhouse Gas Emissions through the reduction of Deforestation and Forest Degradation, Sustainable Management of Forest Resources, and Conservation and Enhancement of Forest Carbon"&amp;" Stocks (REDD+) by 2030")</f>
        <v>Decision On Approval of the National Action Programme on the Reduction of Greenhouse Gas Emissions through the reduction of Deforestation and Forest Degradation, Sustainable Management of Forest Resources, and Conservation and Enhancement of Forest Carbon Stocks (REDD+) by 2030</v>
      </c>
      <c r="D68" s="204" t="s">
        <v>5141</v>
      </c>
      <c r="E68" s="204" t="s">
        <v>5142</v>
      </c>
      <c r="F68" s="204" t="s">
        <v>272</v>
      </c>
      <c r="G68" s="204"/>
      <c r="H68" s="204">
        <v>2017.0</v>
      </c>
      <c r="I68" s="204" t="s">
        <v>24</v>
      </c>
      <c r="J68" s="204" t="s">
        <v>5181</v>
      </c>
      <c r="K68" s="205" t="s">
        <v>5182</v>
      </c>
      <c r="L68" s="204" t="s">
        <v>4957</v>
      </c>
      <c r="M68" s="138"/>
      <c r="N68" s="204" t="s">
        <v>23</v>
      </c>
      <c r="O68" s="25"/>
    </row>
    <row r="69">
      <c r="A69" s="204">
        <v>1798.0</v>
      </c>
      <c r="B69" s="2" t="s">
        <v>5183</v>
      </c>
      <c r="C69" s="2" t="str">
        <f>IFERROR(__xludf.DUMMYFUNCTION("GOOGLETRANSLATE(B69)"),"Law on Economical and Efficient Use of Energy")</f>
        <v>Law on Economical and Efficient Use of Energy</v>
      </c>
      <c r="D69" s="204" t="s">
        <v>5141</v>
      </c>
      <c r="E69" s="204" t="s">
        <v>5142</v>
      </c>
      <c r="F69" s="204" t="s">
        <v>41</v>
      </c>
      <c r="G69" s="204"/>
      <c r="H69" s="204">
        <v>2010.0</v>
      </c>
      <c r="I69" s="204" t="s">
        <v>24</v>
      </c>
      <c r="J69" s="204" t="s">
        <v>5184</v>
      </c>
      <c r="K69" s="205" t="s">
        <v>5185</v>
      </c>
      <c r="L69" s="204" t="s">
        <v>4957</v>
      </c>
      <c r="M69" s="138"/>
      <c r="N69" s="204" t="s">
        <v>23</v>
      </c>
      <c r="O69" s="25"/>
    </row>
    <row r="70">
      <c r="A70" s="204">
        <v>1798.0</v>
      </c>
      <c r="B70" s="2" t="s">
        <v>5186</v>
      </c>
      <c r="C70" s="2" t="str">
        <f>IFERROR(__xludf.DUMMYFUNCTION("GOOGLETRANSLATE(B70)"),"Decree No. 21/2011/ND-CP of March 29, 2011, detailing the Law on Economical and Efficient Use of Energy and measures for its implementation")</f>
        <v>Decree No. 21/2011/ND-CP of March 29, 2011, detailing the Law on Economical and Efficient Use of Energy and measures for its implementation</v>
      </c>
      <c r="D70" s="204" t="s">
        <v>5141</v>
      </c>
      <c r="E70" s="204" t="s">
        <v>5142</v>
      </c>
      <c r="F70" s="204" t="s">
        <v>18</v>
      </c>
      <c r="G70" s="204"/>
      <c r="H70" s="204">
        <v>2011.0</v>
      </c>
      <c r="I70" s="204" t="s">
        <v>24</v>
      </c>
      <c r="J70" s="204" t="s">
        <v>5187</v>
      </c>
      <c r="K70" s="205" t="s">
        <v>5188</v>
      </c>
      <c r="L70" s="204" t="s">
        <v>4957</v>
      </c>
      <c r="M70" s="138"/>
      <c r="N70" s="204" t="s">
        <v>23</v>
      </c>
      <c r="O70" s="25"/>
    </row>
    <row r="71">
      <c r="A71" s="204">
        <v>1799.0</v>
      </c>
      <c r="B71" s="2" t="s">
        <v>5189</v>
      </c>
      <c r="C71" s="2" t="str">
        <f>IFERROR(__xludf.DUMMYFUNCTION("GOOGLETRANSLATE(B71)"),"Decision 158/2008/QD-TTg approving the national target program to respond to climate change issued by the Prime Minister")</f>
        <v>Decision 158/2008/QD-TTg approving the national target program to respond to climate change issued by the Prime Minister</v>
      </c>
      <c r="D71" s="204" t="s">
        <v>5141</v>
      </c>
      <c r="E71" s="204" t="s">
        <v>5142</v>
      </c>
      <c r="F71" s="204" t="s">
        <v>272</v>
      </c>
      <c r="G71" s="204"/>
      <c r="H71" s="204">
        <v>2008.0</v>
      </c>
      <c r="I71" s="204" t="s">
        <v>5147</v>
      </c>
      <c r="J71" s="204" t="s">
        <v>5190</v>
      </c>
      <c r="K71" s="205" t="s">
        <v>5191</v>
      </c>
      <c r="L71" s="204" t="s">
        <v>4957</v>
      </c>
      <c r="M71" s="138"/>
      <c r="N71" s="204" t="s">
        <v>23</v>
      </c>
      <c r="O71" s="25"/>
    </row>
    <row r="72">
      <c r="A72" s="204">
        <v>1799.0</v>
      </c>
      <c r="B72" s="2" t="s">
        <v>5192</v>
      </c>
      <c r="C72" s="2"/>
      <c r="D72" s="204" t="s">
        <v>5141</v>
      </c>
      <c r="E72" s="204" t="s">
        <v>5142</v>
      </c>
      <c r="F72" s="204" t="s">
        <v>272</v>
      </c>
      <c r="G72" s="204"/>
      <c r="H72" s="204">
        <v>2008.0</v>
      </c>
      <c r="I72" s="204" t="s">
        <v>24</v>
      </c>
      <c r="J72" s="204" t="s">
        <v>5193</v>
      </c>
      <c r="K72" s="205" t="s">
        <v>5194</v>
      </c>
      <c r="L72" s="204" t="s">
        <v>4957</v>
      </c>
      <c r="M72" s="138"/>
      <c r="N72" s="204" t="s">
        <v>23</v>
      </c>
      <c r="O72" s="25"/>
    </row>
    <row r="73">
      <c r="A73" s="204">
        <v>1803.0</v>
      </c>
      <c r="B73" s="2" t="s">
        <v>5195</v>
      </c>
      <c r="C73" s="2" t="str">
        <f>IFERROR(__xludf.DUMMYFUNCTION("GOOGLETRANSLATE(B73)"),"Decision 79/2006/QD-TTg approves the national target program on economical and efficient use of energy issued by the Prime Minister")</f>
        <v>Decision 79/2006/QD-TTg approves the national target program on economical and efficient use of energy issued by the Prime Minister</v>
      </c>
      <c r="D73" s="204" t="s">
        <v>5141</v>
      </c>
      <c r="E73" s="204" t="s">
        <v>5142</v>
      </c>
      <c r="F73" s="204" t="s">
        <v>272</v>
      </c>
      <c r="G73" s="204"/>
      <c r="H73" s="204">
        <v>2006.0</v>
      </c>
      <c r="I73" s="204" t="s">
        <v>5147</v>
      </c>
      <c r="J73" s="204" t="s">
        <v>5196</v>
      </c>
      <c r="K73" s="205" t="s">
        <v>5197</v>
      </c>
      <c r="L73" s="204" t="s">
        <v>4957</v>
      </c>
      <c r="M73" s="138"/>
      <c r="N73" s="204" t="s">
        <v>23</v>
      </c>
      <c r="O73" s="25"/>
    </row>
    <row r="74">
      <c r="A74" s="204">
        <v>1803.0</v>
      </c>
      <c r="B74" s="2" t="s">
        <v>5198</v>
      </c>
      <c r="C74" s="2" t="str">
        <f>IFERROR(__xludf.DUMMYFUNCTION("GOOGLETRANSLATE(B74)"),"Decision No. 79/2006/QD-TTg of April 14, 2006, approving the national target program on economical and efficient use of energy.")</f>
        <v>Decision No. 79/2006/QD-TTg of April 14, 2006, approving the national target program on economical and efficient use of energy.</v>
      </c>
      <c r="D74" s="204" t="s">
        <v>5141</v>
      </c>
      <c r="E74" s="204" t="s">
        <v>5142</v>
      </c>
      <c r="F74" s="204" t="s">
        <v>272</v>
      </c>
      <c r="G74" s="204"/>
      <c r="H74" s="204">
        <v>2006.0</v>
      </c>
      <c r="I74" s="204" t="s">
        <v>24</v>
      </c>
      <c r="J74" s="204" t="s">
        <v>5199</v>
      </c>
      <c r="K74" s="205" t="s">
        <v>5200</v>
      </c>
      <c r="L74" s="204" t="s">
        <v>4957</v>
      </c>
      <c r="M74" s="138"/>
      <c r="N74" s="204" t="s">
        <v>23</v>
      </c>
      <c r="O74" s="25"/>
    </row>
    <row r="75">
      <c r="A75" s="204">
        <v>8277.0</v>
      </c>
      <c r="B75" s="2" t="s">
        <v>5201</v>
      </c>
      <c r="C75" s="1" t="s">
        <v>5202</v>
      </c>
      <c r="D75" s="204" t="s">
        <v>5141</v>
      </c>
      <c r="E75" s="204" t="s">
        <v>5142</v>
      </c>
      <c r="F75" s="204" t="s">
        <v>272</v>
      </c>
      <c r="G75" s="204"/>
      <c r="H75" s="204">
        <v>2017.0</v>
      </c>
      <c r="I75" s="204" t="s">
        <v>5147</v>
      </c>
      <c r="J75" s="204" t="s">
        <v>5203</v>
      </c>
      <c r="K75" s="205" t="s">
        <v>5204</v>
      </c>
      <c r="L75" s="204" t="s">
        <v>4957</v>
      </c>
      <c r="M75" s="138"/>
      <c r="N75" s="204" t="s">
        <v>23</v>
      </c>
      <c r="O75" s="2"/>
    </row>
    <row r="76">
      <c r="A76" s="204">
        <v>8277.0</v>
      </c>
      <c r="B76" s="225" t="s">
        <v>5205</v>
      </c>
      <c r="C76" s="2" t="str">
        <f>IFERROR(__xludf.DUMMYFUNCTION("GOOGLETRANSLATE(B76)"),"Decision on the mechanism to encourage solar power development in Vietnam")</f>
        <v>Decision on the mechanism to encourage solar power development in Vietnam</v>
      </c>
      <c r="D76" s="204" t="s">
        <v>5141</v>
      </c>
      <c r="E76" s="204" t="s">
        <v>5142</v>
      </c>
      <c r="F76" s="204" t="s">
        <v>272</v>
      </c>
      <c r="G76" s="204"/>
      <c r="H76" s="204">
        <v>2020.0</v>
      </c>
      <c r="I76" s="204" t="s">
        <v>5147</v>
      </c>
      <c r="J76" s="204" t="s">
        <v>5206</v>
      </c>
      <c r="K76" s="205" t="s">
        <v>5207</v>
      </c>
      <c r="L76" s="204" t="s">
        <v>4957</v>
      </c>
      <c r="M76" s="138"/>
      <c r="N76" s="204" t="s">
        <v>92</v>
      </c>
      <c r="O76" s="2" t="s">
        <v>823</v>
      </c>
    </row>
    <row r="77">
      <c r="A77" s="204">
        <v>8277.0</v>
      </c>
      <c r="B77" s="225" t="s">
        <v>5208</v>
      </c>
      <c r="C77" s="2" t="str">
        <f>IFERROR(__xludf.DUMMYFUNCTION("GOOGLETRANSLATE(B77)"),"Regulations on project development and sample electricity trading contracts applicable to solar power projects")</f>
        <v>Regulations on project development and sample electricity trading contracts applicable to solar power projects</v>
      </c>
      <c r="D77" s="204" t="s">
        <v>5141</v>
      </c>
      <c r="E77" s="204" t="s">
        <v>5142</v>
      </c>
      <c r="F77" s="204" t="s">
        <v>34</v>
      </c>
      <c r="G77" s="204"/>
      <c r="H77" s="204">
        <v>2020.0</v>
      </c>
      <c r="I77" s="204" t="s">
        <v>5147</v>
      </c>
      <c r="J77" s="204" t="s">
        <v>5209</v>
      </c>
      <c r="K77" s="205" t="s">
        <v>5210</v>
      </c>
      <c r="L77" s="204" t="s">
        <v>4957</v>
      </c>
      <c r="M77" s="138"/>
      <c r="N77" s="204" t="s">
        <v>92</v>
      </c>
      <c r="O77" s="2" t="s">
        <v>5211</v>
      </c>
    </row>
    <row r="78">
      <c r="A78" s="204">
        <v>8277.0</v>
      </c>
      <c r="B78" s="225" t="s">
        <v>5212</v>
      </c>
      <c r="C78" s="2"/>
      <c r="D78" s="204" t="s">
        <v>5141</v>
      </c>
      <c r="E78" s="204" t="s">
        <v>5142</v>
      </c>
      <c r="F78" s="204" t="s">
        <v>272</v>
      </c>
      <c r="G78" s="204"/>
      <c r="H78" s="204">
        <v>2017.0</v>
      </c>
      <c r="I78" s="204" t="s">
        <v>24</v>
      </c>
      <c r="J78" s="204" t="s">
        <v>5213</v>
      </c>
      <c r="K78" s="205" t="s">
        <v>5214</v>
      </c>
      <c r="L78" s="204" t="s">
        <v>4957</v>
      </c>
      <c r="M78" s="138"/>
      <c r="N78" s="204" t="s">
        <v>48</v>
      </c>
      <c r="O78" s="2" t="s">
        <v>5169</v>
      </c>
    </row>
    <row r="79">
      <c r="A79" s="204">
        <v>9697.0</v>
      </c>
      <c r="B79" s="226" t="s">
        <v>5215</v>
      </c>
      <c r="C79" s="2"/>
      <c r="D79" s="204" t="s">
        <v>5141</v>
      </c>
      <c r="E79" s="204" t="s">
        <v>5142</v>
      </c>
      <c r="F79" s="204" t="s">
        <v>18</v>
      </c>
      <c r="G79" s="204"/>
      <c r="H79" s="204">
        <v>2016.0</v>
      </c>
      <c r="I79" s="204" t="s">
        <v>24</v>
      </c>
      <c r="J79" s="204" t="s">
        <v>5216</v>
      </c>
      <c r="K79" s="205" t="s">
        <v>5217</v>
      </c>
      <c r="L79" s="204" t="s">
        <v>4957</v>
      </c>
      <c r="M79" s="138"/>
      <c r="N79" s="204" t="s">
        <v>48</v>
      </c>
      <c r="O79" s="2" t="s">
        <v>5169</v>
      </c>
    </row>
    <row r="80">
      <c r="A80" s="204">
        <v>9697.0</v>
      </c>
      <c r="B80" s="2" t="s">
        <v>5218</v>
      </c>
      <c r="C80" s="2"/>
      <c r="D80" s="204" t="s">
        <v>5141</v>
      </c>
      <c r="E80" s="204" t="s">
        <v>5142</v>
      </c>
      <c r="F80" s="204" t="s">
        <v>272</v>
      </c>
      <c r="G80" s="204"/>
      <c r="H80" s="204">
        <v>2015.0</v>
      </c>
      <c r="I80" s="204" t="s">
        <v>24</v>
      </c>
      <c r="J80" s="204" t="s">
        <v>5219</v>
      </c>
      <c r="K80" s="205" t="s">
        <v>5220</v>
      </c>
      <c r="L80" s="204" t="s">
        <v>4957</v>
      </c>
      <c r="M80" s="138"/>
      <c r="N80" s="204" t="s">
        <v>48</v>
      </c>
      <c r="O80" s="25"/>
    </row>
    <row r="81">
      <c r="A81" s="208">
        <v>10072.0</v>
      </c>
      <c r="B81" s="8" t="s">
        <v>5221</v>
      </c>
      <c r="C81" s="8"/>
      <c r="D81" s="208" t="s">
        <v>5141</v>
      </c>
      <c r="E81" s="208" t="s">
        <v>5142</v>
      </c>
      <c r="F81" s="208" t="s">
        <v>5222</v>
      </c>
      <c r="G81" s="208"/>
      <c r="H81" s="208">
        <v>2017.0</v>
      </c>
      <c r="I81" s="208" t="s">
        <v>24</v>
      </c>
      <c r="J81" s="208" t="s">
        <v>5223</v>
      </c>
      <c r="K81" s="224" t="s">
        <v>5224</v>
      </c>
      <c r="L81" s="208" t="s">
        <v>4957</v>
      </c>
      <c r="M81" s="207"/>
      <c r="N81" s="208" t="s">
        <v>37</v>
      </c>
      <c r="O81" s="8" t="s">
        <v>5225</v>
      </c>
      <c r="P81" s="3"/>
      <c r="Q81" s="3"/>
      <c r="R81" s="3"/>
      <c r="S81" s="3"/>
      <c r="T81" s="3"/>
      <c r="U81" s="3"/>
      <c r="V81" s="3"/>
      <c r="W81" s="3"/>
      <c r="X81" s="3"/>
      <c r="Y81" s="3"/>
      <c r="Z81" s="3"/>
      <c r="AA81" s="3"/>
      <c r="AB81" s="3"/>
    </row>
    <row r="82">
      <c r="A82" s="208">
        <v>10072.0</v>
      </c>
      <c r="B82" s="8" t="s">
        <v>5226</v>
      </c>
      <c r="C82" s="8" t="str">
        <f>IFERROR(__xludf.DUMMYFUNCTION("GOOGLETRANSLATE(B82)"),"National action plan to implement the 2030 agenda for sustainable development")</f>
        <v>National action plan to implement the 2030 agenda for sustainable development</v>
      </c>
      <c r="D82" s="208" t="s">
        <v>5141</v>
      </c>
      <c r="E82" s="208" t="s">
        <v>5142</v>
      </c>
      <c r="F82" s="208" t="s">
        <v>5222</v>
      </c>
      <c r="G82" s="208"/>
      <c r="H82" s="208">
        <v>2017.0</v>
      </c>
      <c r="I82" s="208" t="s">
        <v>5147</v>
      </c>
      <c r="J82" s="208" t="s">
        <v>5227</v>
      </c>
      <c r="K82" s="209" t="s">
        <v>5228</v>
      </c>
      <c r="L82" s="208" t="s">
        <v>4957</v>
      </c>
      <c r="M82" s="207"/>
      <c r="N82" s="208" t="s">
        <v>37</v>
      </c>
      <c r="O82" s="8" t="s">
        <v>5225</v>
      </c>
      <c r="P82" s="3"/>
      <c r="Q82" s="3"/>
      <c r="R82" s="3"/>
      <c r="S82" s="3"/>
      <c r="T82" s="3"/>
      <c r="U82" s="3"/>
      <c r="V82" s="3"/>
      <c r="W82" s="3"/>
      <c r="X82" s="3"/>
      <c r="Y82" s="3"/>
      <c r="Z82" s="3"/>
      <c r="AA82" s="3"/>
      <c r="AB82" s="3"/>
    </row>
    <row r="83">
      <c r="A83" s="204">
        <v>4845.0</v>
      </c>
      <c r="B83" s="2" t="s">
        <v>5229</v>
      </c>
      <c r="C83" s="8" t="str">
        <f>IFERROR(__xludf.DUMMYFUNCTION("GOOGLETRANSLATE(B83)"),"The National Agriculture Policy 2012-2030")</f>
        <v>The National Agriculture Policy 2012-2030</v>
      </c>
      <c r="D83" s="204" t="s">
        <v>5230</v>
      </c>
      <c r="E83" s="204" t="s">
        <v>5231</v>
      </c>
      <c r="F83" s="204" t="s">
        <v>407</v>
      </c>
      <c r="G83" s="204"/>
      <c r="H83" s="204">
        <v>2011.0</v>
      </c>
      <c r="I83" s="204" t="s">
        <v>24</v>
      </c>
      <c r="J83" s="204" t="s">
        <v>5232</v>
      </c>
      <c r="K83" s="205" t="s">
        <v>5233</v>
      </c>
      <c r="L83" s="204" t="s">
        <v>4957</v>
      </c>
      <c r="M83" s="138"/>
      <c r="N83" s="204" t="s">
        <v>23</v>
      </c>
      <c r="O83" s="25"/>
    </row>
    <row r="84">
      <c r="A84" s="204">
        <v>4845.0</v>
      </c>
      <c r="B84" s="2" t="s">
        <v>5234</v>
      </c>
      <c r="C84" s="8" t="str">
        <f>IFERROR(__xludf.DUMMYFUNCTION("GOOGLETRANSLATE(B84)"),"Second National Agricultural Policy")</f>
        <v>Second National Agricultural Policy</v>
      </c>
      <c r="D84" s="204" t="s">
        <v>5230</v>
      </c>
      <c r="E84" s="204" t="s">
        <v>5231</v>
      </c>
      <c r="F84" s="204" t="s">
        <v>407</v>
      </c>
      <c r="G84" s="204"/>
      <c r="H84" s="204">
        <v>2016.0</v>
      </c>
      <c r="I84" s="204" t="s">
        <v>24</v>
      </c>
      <c r="J84" s="204" t="s">
        <v>5235</v>
      </c>
      <c r="K84" s="205" t="s">
        <v>5236</v>
      </c>
      <c r="L84" s="204" t="s">
        <v>4957</v>
      </c>
      <c r="M84" s="138"/>
      <c r="N84" s="204" t="s">
        <v>4343</v>
      </c>
      <c r="O84" s="25"/>
    </row>
    <row r="85">
      <c r="A85" s="208">
        <v>8530.0</v>
      </c>
      <c r="B85" s="8" t="s">
        <v>5237</v>
      </c>
      <c r="C85" s="8" t="str">
        <f>IFERROR(__xludf.DUMMYFUNCTION("GOOGLETRANSLATE(B85)"),"National Strategy for Environment")</f>
        <v>National Strategy for Environment</v>
      </c>
      <c r="D85" s="208" t="s">
        <v>3898</v>
      </c>
      <c r="E85" s="208" t="s">
        <v>3899</v>
      </c>
      <c r="F85" s="208" t="s">
        <v>144</v>
      </c>
      <c r="G85" s="207"/>
      <c r="H85" s="207"/>
      <c r="I85" s="208" t="s">
        <v>24</v>
      </c>
      <c r="J85" s="224" t="s">
        <v>5238</v>
      </c>
      <c r="K85" s="224" t="s">
        <v>5239</v>
      </c>
      <c r="L85" s="208" t="s">
        <v>4957</v>
      </c>
      <c r="M85" s="207"/>
      <c r="N85" s="208" t="s">
        <v>92</v>
      </c>
      <c r="O85" s="8" t="s">
        <v>5240</v>
      </c>
      <c r="P85" s="3"/>
      <c r="Q85" s="3"/>
      <c r="R85" s="3"/>
      <c r="S85" s="3"/>
      <c r="T85" s="3"/>
      <c r="U85" s="3"/>
      <c r="V85" s="3"/>
      <c r="W85" s="3"/>
      <c r="X85" s="3"/>
      <c r="Y85" s="3"/>
      <c r="Z85" s="3"/>
      <c r="AA85" s="3"/>
      <c r="AB85" s="3"/>
    </row>
    <row r="86">
      <c r="A86" s="227">
        <v>8530.0</v>
      </c>
      <c r="B86" s="228" t="s">
        <v>5241</v>
      </c>
      <c r="C86" s="8" t="str">
        <f>IFERROR(__xludf.DUMMYFUNCTION("GOOGLETRANSLATE(B86)"),"The National Environment Strategy")</f>
        <v>The National Environment Strategy</v>
      </c>
      <c r="D86" s="227" t="s">
        <v>3898</v>
      </c>
      <c r="E86" s="227" t="s">
        <v>3899</v>
      </c>
      <c r="F86" s="227" t="s">
        <v>144</v>
      </c>
      <c r="G86" s="227"/>
      <c r="H86" s="227">
        <v>2006.0</v>
      </c>
      <c r="I86" s="227" t="s">
        <v>24</v>
      </c>
      <c r="J86" s="229" t="s">
        <v>5238</v>
      </c>
      <c r="K86" s="230" t="s">
        <v>5242</v>
      </c>
      <c r="L86" s="227" t="s">
        <v>4957</v>
      </c>
      <c r="M86" s="231"/>
      <c r="N86" s="227" t="s">
        <v>23</v>
      </c>
      <c r="O86" s="228"/>
      <c r="P86" s="232"/>
      <c r="Q86" s="232"/>
      <c r="R86" s="232"/>
      <c r="S86" s="232"/>
      <c r="T86" s="232"/>
      <c r="U86" s="232"/>
      <c r="V86" s="232"/>
      <c r="W86" s="232"/>
      <c r="X86" s="232"/>
      <c r="Y86" s="232"/>
      <c r="Z86" s="232"/>
      <c r="AA86" s="232"/>
      <c r="AB86" s="232"/>
    </row>
    <row r="87">
      <c r="A87" s="208">
        <v>8597.0</v>
      </c>
      <c r="B87" s="5"/>
      <c r="C87" s="8" t="str">
        <f>IFERROR(__xludf.DUMMYFUNCTION("GOOGLETRANSLATE(B87)"),"#VALUE!")</f>
        <v>#VALUE!</v>
      </c>
      <c r="D87" s="208" t="s">
        <v>1037</v>
      </c>
      <c r="E87" s="208" t="s">
        <v>1038</v>
      </c>
      <c r="F87" s="207"/>
      <c r="G87" s="207"/>
      <c r="H87" s="207"/>
      <c r="I87" s="207"/>
      <c r="J87" s="208" t="s">
        <v>5243</v>
      </c>
      <c r="K87" s="224" t="s">
        <v>5244</v>
      </c>
      <c r="L87" s="208" t="s">
        <v>4957</v>
      </c>
      <c r="M87" s="207"/>
      <c r="N87" s="208" t="s">
        <v>37</v>
      </c>
      <c r="O87" s="8" t="s">
        <v>893</v>
      </c>
      <c r="P87" s="3"/>
      <c r="Q87" s="3"/>
      <c r="R87" s="3"/>
      <c r="S87" s="3"/>
      <c r="T87" s="3"/>
      <c r="U87" s="3"/>
      <c r="V87" s="3"/>
      <c r="W87" s="3"/>
      <c r="X87" s="3"/>
      <c r="Y87" s="3"/>
      <c r="Z87" s="3"/>
      <c r="AA87" s="3"/>
      <c r="AB87" s="3"/>
    </row>
    <row r="88">
      <c r="A88" s="208">
        <v>8597.0</v>
      </c>
      <c r="B88" s="5"/>
      <c r="C88" s="8" t="str">
        <f>IFERROR(__xludf.DUMMYFUNCTION("GOOGLETRANSLATE(B88)"),"#VALUE!")</f>
        <v>#VALUE!</v>
      </c>
      <c r="D88" s="208" t="s">
        <v>1037</v>
      </c>
      <c r="E88" s="208" t="s">
        <v>1038</v>
      </c>
      <c r="F88" s="207"/>
      <c r="G88" s="207"/>
      <c r="H88" s="207"/>
      <c r="I88" s="207"/>
      <c r="J88" s="233" t="s">
        <v>5243</v>
      </c>
      <c r="K88" s="234" t="s">
        <v>5245</v>
      </c>
      <c r="L88" s="208" t="s">
        <v>4957</v>
      </c>
      <c r="M88" s="207"/>
      <c r="N88" s="208"/>
      <c r="O88" s="8" t="s">
        <v>893</v>
      </c>
      <c r="P88" s="3"/>
      <c r="Q88" s="3"/>
      <c r="R88" s="3"/>
      <c r="S88" s="3"/>
      <c r="T88" s="3"/>
      <c r="U88" s="3"/>
      <c r="V88" s="3"/>
      <c r="W88" s="3"/>
      <c r="X88" s="3"/>
      <c r="Y88" s="3"/>
      <c r="Z88" s="3"/>
      <c r="AA88" s="3"/>
      <c r="AB88" s="3"/>
    </row>
    <row r="89">
      <c r="A89" s="208">
        <v>8598.0</v>
      </c>
      <c r="B89" s="235"/>
      <c r="C89" s="8"/>
      <c r="D89" s="208" t="s">
        <v>1037</v>
      </c>
      <c r="E89" s="208" t="s">
        <v>1038</v>
      </c>
      <c r="F89" s="207"/>
      <c r="G89" s="207"/>
      <c r="H89" s="207"/>
      <c r="I89" s="208" t="s">
        <v>924</v>
      </c>
      <c r="J89" s="208" t="s">
        <v>5246</v>
      </c>
      <c r="K89" s="224" t="s">
        <v>5247</v>
      </c>
      <c r="L89" s="208" t="s">
        <v>4957</v>
      </c>
      <c r="M89" s="207"/>
      <c r="N89" s="208" t="s">
        <v>37</v>
      </c>
      <c r="O89" s="8" t="s">
        <v>5248</v>
      </c>
      <c r="P89" s="3"/>
      <c r="Q89" s="3"/>
      <c r="R89" s="3"/>
      <c r="S89" s="3"/>
      <c r="T89" s="3"/>
      <c r="U89" s="3"/>
      <c r="V89" s="3"/>
      <c r="W89" s="3"/>
      <c r="X89" s="3"/>
      <c r="Y89" s="3"/>
      <c r="Z89" s="3"/>
      <c r="AA89" s="3"/>
      <c r="AB89" s="3"/>
    </row>
    <row r="90">
      <c r="A90" s="208">
        <v>8598.0</v>
      </c>
      <c r="B90" s="235" t="s">
        <v>5249</v>
      </c>
      <c r="C90" s="8" t="str">
        <f>IFERROR(__xludf.DUMMYFUNCTION("GOOGLETRANSLATE(B90)"),"Law 1819 of 2016 through which a structural tax reform is adopted, the mechanisms for the fight against evasion and tax avoidance are strengthened and other provisions are issued")</f>
        <v>Law 1819 of 2016 through which a structural tax reform is adopted, the mechanisms for the fight against evasion and tax avoidance are strengthened and other provisions are issued</v>
      </c>
      <c r="D90" s="208" t="s">
        <v>1037</v>
      </c>
      <c r="E90" s="208" t="s">
        <v>1038</v>
      </c>
      <c r="F90" s="208" t="s">
        <v>41</v>
      </c>
      <c r="G90" s="207"/>
      <c r="H90" s="207"/>
      <c r="I90" s="208" t="s">
        <v>924</v>
      </c>
      <c r="J90" s="208"/>
      <c r="K90" s="236" t="s">
        <v>5250</v>
      </c>
      <c r="L90" s="208" t="s">
        <v>4957</v>
      </c>
      <c r="M90" s="207"/>
      <c r="N90" s="208"/>
      <c r="O90" s="8" t="s">
        <v>5251</v>
      </c>
      <c r="P90" s="3"/>
      <c r="Q90" s="3"/>
      <c r="R90" s="3"/>
      <c r="S90" s="3"/>
      <c r="T90" s="3"/>
      <c r="U90" s="3"/>
      <c r="V90" s="3"/>
      <c r="W90" s="3"/>
      <c r="X90" s="3"/>
      <c r="Y90" s="3"/>
      <c r="Z90" s="3"/>
      <c r="AA90" s="3"/>
      <c r="AB90" s="3"/>
    </row>
    <row r="91">
      <c r="A91" s="208">
        <v>8548.0</v>
      </c>
      <c r="B91" s="8" t="s">
        <v>5252</v>
      </c>
      <c r="C91" s="8" t="str">
        <f>IFERROR(__xludf.DUMMYFUNCTION("GOOGLETRANSLATE(B91)"),"PNM 2035 - National Mobility Plan")</f>
        <v>PNM 2035 - National Mobility Plan</v>
      </c>
      <c r="D91" s="208" t="s">
        <v>2073</v>
      </c>
      <c r="E91" s="208" t="s">
        <v>2074</v>
      </c>
      <c r="F91" s="208" t="s">
        <v>234</v>
      </c>
      <c r="G91" s="207"/>
      <c r="H91" s="207"/>
      <c r="I91" s="208" t="s">
        <v>811</v>
      </c>
      <c r="J91" s="208" t="s">
        <v>5253</v>
      </c>
      <c r="K91" s="224" t="s">
        <v>5254</v>
      </c>
      <c r="L91" s="208" t="s">
        <v>4957</v>
      </c>
      <c r="M91" s="207"/>
      <c r="N91" s="208" t="s">
        <v>92</v>
      </c>
      <c r="O91" s="8" t="s">
        <v>5255</v>
      </c>
      <c r="P91" s="3"/>
      <c r="Q91" s="3"/>
      <c r="R91" s="3"/>
      <c r="S91" s="3"/>
      <c r="T91" s="3"/>
      <c r="U91" s="3"/>
      <c r="V91" s="3"/>
      <c r="W91" s="3"/>
      <c r="X91" s="3"/>
      <c r="Y91" s="3"/>
      <c r="Z91" s="3"/>
      <c r="AA91" s="3"/>
      <c r="AB91" s="3"/>
    </row>
    <row r="92">
      <c r="A92" s="208">
        <v>8548.0</v>
      </c>
      <c r="B92" s="8" t="s">
        <v>5252</v>
      </c>
      <c r="C92" s="8" t="str">
        <f>IFERROR(__xludf.DUMMYFUNCTION("GOOGLETRANSLATE(B92)"),"PNM 2035 - National Mobility Plan")</f>
        <v>PNM 2035 - National Mobility Plan</v>
      </c>
      <c r="D92" s="208" t="s">
        <v>2073</v>
      </c>
      <c r="E92" s="208" t="s">
        <v>2074</v>
      </c>
      <c r="F92" s="208" t="s">
        <v>234</v>
      </c>
      <c r="G92" s="207"/>
      <c r="H92" s="207"/>
      <c r="I92" s="208" t="s">
        <v>811</v>
      </c>
      <c r="J92" s="237" t="s">
        <v>5253</v>
      </c>
      <c r="K92" s="238" t="s">
        <v>5256</v>
      </c>
      <c r="L92" s="208" t="s">
        <v>4957</v>
      </c>
      <c r="M92" s="207"/>
      <c r="N92" s="208"/>
      <c r="O92" s="8" t="s">
        <v>5255</v>
      </c>
      <c r="P92" s="3"/>
      <c r="Q92" s="3"/>
      <c r="R92" s="3"/>
      <c r="S92" s="3"/>
      <c r="T92" s="3"/>
      <c r="U92" s="3"/>
      <c r="V92" s="3"/>
      <c r="W92" s="3"/>
      <c r="X92" s="3"/>
      <c r="Y92" s="3"/>
      <c r="Z92" s="3"/>
      <c r="AA92" s="3"/>
      <c r="AB92" s="3"/>
    </row>
    <row r="93">
      <c r="A93" s="208">
        <v>8620.0</v>
      </c>
      <c r="B93" s="8" t="s">
        <v>5257</v>
      </c>
      <c r="C93" s="8" t="str">
        <f>IFERROR(__xludf.DUMMYFUNCTION("GOOGLETRANSLATE(B93)"),"Organic Law of Federal Public Administration")</f>
        <v>Organic Law of Federal Public Administration</v>
      </c>
      <c r="D93" s="208" t="s">
        <v>2205</v>
      </c>
      <c r="E93" s="208" t="s">
        <v>2206</v>
      </c>
      <c r="F93" s="208" t="s">
        <v>41</v>
      </c>
      <c r="G93" s="208"/>
      <c r="H93" s="208">
        <v>2022.0</v>
      </c>
      <c r="I93" s="208" t="s">
        <v>924</v>
      </c>
      <c r="J93" s="208" t="s">
        <v>5258</v>
      </c>
      <c r="K93" s="224" t="s">
        <v>5259</v>
      </c>
      <c r="L93" s="208" t="s">
        <v>4957</v>
      </c>
      <c r="M93" s="207"/>
      <c r="N93" s="208" t="s">
        <v>4343</v>
      </c>
      <c r="O93" s="8" t="s">
        <v>823</v>
      </c>
      <c r="P93" s="3"/>
      <c r="Q93" s="3"/>
      <c r="R93" s="3"/>
      <c r="S93" s="3"/>
      <c r="T93" s="3"/>
      <c r="U93" s="3"/>
      <c r="V93" s="3"/>
      <c r="W93" s="3"/>
      <c r="X93" s="3"/>
      <c r="Y93" s="3"/>
      <c r="Z93" s="3"/>
      <c r="AA93" s="3"/>
      <c r="AB93" s="3"/>
    </row>
    <row r="94">
      <c r="A94" s="208">
        <v>8620.0</v>
      </c>
      <c r="B94" s="5"/>
      <c r="C94" s="8"/>
      <c r="D94" s="208" t="s">
        <v>2205</v>
      </c>
      <c r="E94" s="208" t="s">
        <v>2206</v>
      </c>
      <c r="F94" s="207"/>
      <c r="G94" s="207"/>
      <c r="H94" s="207"/>
      <c r="I94" s="207"/>
      <c r="J94" s="208" t="s">
        <v>5258</v>
      </c>
      <c r="K94" s="236" t="s">
        <v>5260</v>
      </c>
      <c r="L94" s="208" t="s">
        <v>4957</v>
      </c>
      <c r="M94" s="207"/>
      <c r="N94" s="208"/>
      <c r="O94" s="8" t="s">
        <v>893</v>
      </c>
      <c r="P94" s="3"/>
      <c r="Q94" s="3"/>
      <c r="R94" s="3"/>
      <c r="S94" s="3"/>
      <c r="T94" s="3"/>
      <c r="U94" s="3"/>
      <c r="V94" s="3"/>
      <c r="W94" s="3"/>
      <c r="X94" s="3"/>
      <c r="Y94" s="3"/>
      <c r="Z94" s="3"/>
      <c r="AA94" s="3"/>
      <c r="AB94" s="3"/>
    </row>
    <row r="95">
      <c r="A95" s="208">
        <v>8581.0</v>
      </c>
      <c r="B95" s="8" t="s">
        <v>5261</v>
      </c>
      <c r="C95" s="8"/>
      <c r="D95" s="208" t="s">
        <v>2237</v>
      </c>
      <c r="E95" s="208" t="s">
        <v>2238</v>
      </c>
      <c r="F95" s="208" t="s">
        <v>45</v>
      </c>
      <c r="G95" s="207"/>
      <c r="H95" s="207"/>
      <c r="I95" s="208" t="s">
        <v>24</v>
      </c>
      <c r="J95" s="208" t="s">
        <v>5262</v>
      </c>
      <c r="K95" s="224" t="s">
        <v>5263</v>
      </c>
      <c r="L95" s="208" t="s">
        <v>4957</v>
      </c>
      <c r="M95" s="207"/>
      <c r="N95" s="208" t="s">
        <v>326</v>
      </c>
      <c r="O95" s="8" t="s">
        <v>5264</v>
      </c>
      <c r="P95" s="3"/>
      <c r="Q95" s="3"/>
      <c r="R95" s="3"/>
      <c r="S95" s="3"/>
      <c r="T95" s="3"/>
      <c r="U95" s="3"/>
      <c r="V95" s="3"/>
      <c r="W95" s="3"/>
      <c r="X95" s="3"/>
      <c r="Y95" s="3"/>
      <c r="Z95" s="3"/>
      <c r="AA95" s="3"/>
      <c r="AB95" s="3"/>
    </row>
    <row r="96">
      <c r="A96" s="208">
        <v>8581.0</v>
      </c>
      <c r="B96" s="8" t="s">
        <v>5261</v>
      </c>
      <c r="C96" s="8"/>
      <c r="D96" s="208" t="s">
        <v>2237</v>
      </c>
      <c r="E96" s="208" t="s">
        <v>2238</v>
      </c>
      <c r="F96" s="208" t="s">
        <v>45</v>
      </c>
      <c r="G96" s="207"/>
      <c r="H96" s="207"/>
      <c r="I96" s="208" t="s">
        <v>24</v>
      </c>
      <c r="J96" s="208" t="s">
        <v>5262</v>
      </c>
      <c r="K96" s="238" t="s">
        <v>5265</v>
      </c>
      <c r="L96" s="208" t="s">
        <v>4957</v>
      </c>
      <c r="M96" s="207"/>
      <c r="N96" s="208"/>
      <c r="O96" s="8" t="s">
        <v>5266</v>
      </c>
      <c r="P96" s="3"/>
      <c r="Q96" s="3"/>
      <c r="R96" s="3"/>
      <c r="S96" s="3"/>
      <c r="T96" s="3"/>
      <c r="U96" s="3"/>
      <c r="V96" s="3"/>
      <c r="W96" s="3"/>
      <c r="X96" s="3"/>
      <c r="Y96" s="3"/>
      <c r="Z96" s="3"/>
      <c r="AA96" s="3"/>
      <c r="AB96" s="3"/>
    </row>
    <row r="97">
      <c r="A97" s="208">
        <v>8624.0</v>
      </c>
      <c r="B97" s="5"/>
      <c r="C97" s="8"/>
      <c r="D97" s="208" t="s">
        <v>3150</v>
      </c>
      <c r="E97" s="208" t="s">
        <v>3151</v>
      </c>
      <c r="F97" s="207"/>
      <c r="G97" s="207"/>
      <c r="H97" s="207"/>
      <c r="I97" s="207"/>
      <c r="J97" s="208" t="s">
        <v>5267</v>
      </c>
      <c r="K97" s="224" t="s">
        <v>5268</v>
      </c>
      <c r="L97" s="208" t="s">
        <v>4957</v>
      </c>
      <c r="M97" s="207"/>
      <c r="N97" s="208" t="s">
        <v>229</v>
      </c>
      <c r="O97" s="8" t="s">
        <v>893</v>
      </c>
      <c r="P97" s="3"/>
      <c r="Q97" s="3"/>
      <c r="R97" s="3"/>
      <c r="S97" s="3"/>
      <c r="T97" s="3"/>
      <c r="U97" s="3"/>
      <c r="V97" s="3"/>
      <c r="W97" s="3"/>
      <c r="X97" s="3"/>
      <c r="Y97" s="3"/>
      <c r="Z97" s="3"/>
      <c r="AA97" s="3"/>
      <c r="AB97" s="3"/>
    </row>
    <row r="98">
      <c r="A98" s="208">
        <v>8624.0</v>
      </c>
      <c r="B98" s="8" t="s">
        <v>5269</v>
      </c>
      <c r="C98" s="8" t="str">
        <f>IFERROR(__xludf.DUMMYFUNCTION("GOOGLETRANSLATE(B98)"),"Offshore Wind Energy Roadmap 2030")</f>
        <v>Offshore Wind Energy Roadmap 2030</v>
      </c>
      <c r="D98" s="208" t="s">
        <v>3150</v>
      </c>
      <c r="E98" s="208" t="s">
        <v>3151</v>
      </c>
      <c r="F98" s="208" t="s">
        <v>2329</v>
      </c>
      <c r="G98" s="207"/>
      <c r="H98" s="207"/>
      <c r="I98" s="208" t="s">
        <v>24</v>
      </c>
      <c r="J98" s="208" t="s">
        <v>5267</v>
      </c>
      <c r="K98" s="238" t="s">
        <v>5270</v>
      </c>
      <c r="L98" s="208" t="s">
        <v>4957</v>
      </c>
      <c r="M98" s="207"/>
      <c r="N98" s="208"/>
      <c r="O98" s="8" t="s">
        <v>5271</v>
      </c>
      <c r="P98" s="3"/>
      <c r="Q98" s="3"/>
      <c r="R98" s="3"/>
      <c r="S98" s="3"/>
      <c r="T98" s="3"/>
      <c r="U98" s="3"/>
      <c r="V98" s="3"/>
      <c r="W98" s="3"/>
      <c r="X98" s="3"/>
      <c r="Y98" s="3"/>
      <c r="Z98" s="3"/>
      <c r="AA98" s="3"/>
      <c r="AB98" s="3"/>
    </row>
    <row r="99">
      <c r="A99" s="204">
        <v>8579.0</v>
      </c>
      <c r="B99" s="2" t="s">
        <v>5272</v>
      </c>
      <c r="C99" s="2" t="str">
        <f>IFERROR(__xludf.DUMMYFUNCTION("GOOGLETRANSLATE(B99)"),"Decision no. 739 of October 5, 2016 for the approval of the National Strategy on
Climatic changes and economic growth based on low carbon emissions for
The period 2016-2020 and the National Action Plan for the implementation of the Strategy
national on"&amp;" climate change and economic growth based on low emissions by
carbon for the period 2016-2020")</f>
        <v>Decision no. 739 of October 5, 2016 for the approval of the National Strategy on
Climatic changes and economic growth based on low carbon emissions for
The period 2016-2020 and the National Action Plan for the implementation of the Strategy
national on climate change and economic growth based on low emissions by
carbon for the period 2016-2020</v>
      </c>
      <c r="D99" s="204" t="s">
        <v>2642</v>
      </c>
      <c r="E99" s="204" t="s">
        <v>2643</v>
      </c>
      <c r="F99" s="204" t="s">
        <v>272</v>
      </c>
      <c r="G99" s="204"/>
      <c r="H99" s="204">
        <v>2016.0</v>
      </c>
      <c r="I99" s="204" t="s">
        <v>2247</v>
      </c>
      <c r="J99" s="204" t="s">
        <v>5273</v>
      </c>
      <c r="K99" s="212" t="s">
        <v>5274</v>
      </c>
      <c r="L99" s="204" t="s">
        <v>4957</v>
      </c>
      <c r="M99" s="138"/>
      <c r="N99" s="204" t="s">
        <v>326</v>
      </c>
      <c r="O99" s="25"/>
    </row>
    <row r="100">
      <c r="A100" s="208">
        <v>8579.0</v>
      </c>
      <c r="B100" s="239" t="s">
        <v>5275</v>
      </c>
      <c r="C100" s="8" t="str">
        <f>IFERROR(__xludf.DUMMYFUNCTION("GOOGLETRANSLATE(B100)"),"National Strategy on Climate Change (Summary)")</f>
        <v>National Strategy on Climate Change (Summary)</v>
      </c>
      <c r="D100" s="208" t="s">
        <v>2642</v>
      </c>
      <c r="E100" s="208" t="s">
        <v>2643</v>
      </c>
      <c r="F100" s="208" t="s">
        <v>144</v>
      </c>
      <c r="G100" s="207"/>
      <c r="H100" s="207"/>
      <c r="I100" s="208" t="s">
        <v>2247</v>
      </c>
      <c r="J100" s="208" t="s">
        <v>5273</v>
      </c>
      <c r="K100" s="238" t="s">
        <v>5276</v>
      </c>
      <c r="L100" s="208" t="s">
        <v>4957</v>
      </c>
      <c r="M100" s="207"/>
      <c r="N100" s="208"/>
      <c r="O100" s="8" t="s">
        <v>5277</v>
      </c>
      <c r="P100" s="3"/>
      <c r="Q100" s="3"/>
      <c r="R100" s="3"/>
      <c r="S100" s="3"/>
      <c r="T100" s="3"/>
      <c r="U100" s="3"/>
      <c r="V100" s="3"/>
      <c r="W100" s="3"/>
      <c r="X100" s="3"/>
      <c r="Y100" s="3"/>
      <c r="Z100" s="3"/>
      <c r="AA100" s="3"/>
      <c r="AB100" s="3"/>
    </row>
    <row r="101">
      <c r="A101" s="208">
        <v>8580.0</v>
      </c>
      <c r="B101" s="8" t="s">
        <v>5278</v>
      </c>
      <c r="C101" s="8"/>
      <c r="D101" s="208" t="s">
        <v>5279</v>
      </c>
      <c r="E101" s="208" t="s">
        <v>5280</v>
      </c>
      <c r="F101" s="208" t="s">
        <v>41</v>
      </c>
      <c r="G101" s="208"/>
      <c r="H101" s="208">
        <v>2013.0</v>
      </c>
      <c r="I101" s="208" t="s">
        <v>5281</v>
      </c>
      <c r="J101" s="208" t="s">
        <v>5282</v>
      </c>
      <c r="K101" s="224" t="s">
        <v>5283</v>
      </c>
      <c r="L101" s="208" t="s">
        <v>4957</v>
      </c>
      <c r="M101" s="208" t="s">
        <v>5284</v>
      </c>
      <c r="N101" s="208" t="s">
        <v>92</v>
      </c>
      <c r="O101" s="8"/>
      <c r="P101" s="3"/>
      <c r="Q101" s="3"/>
      <c r="R101" s="3"/>
      <c r="S101" s="3"/>
      <c r="T101" s="3"/>
      <c r="U101" s="3"/>
      <c r="V101" s="3"/>
      <c r="W101" s="3"/>
      <c r="X101" s="3"/>
      <c r="Y101" s="3"/>
      <c r="Z101" s="3"/>
      <c r="AA101" s="3"/>
      <c r="AB101" s="3"/>
    </row>
    <row r="102">
      <c r="A102" s="208">
        <v>8580.0</v>
      </c>
      <c r="B102" s="8" t="s">
        <v>5278</v>
      </c>
      <c r="C102" s="8"/>
      <c r="D102" s="208" t="s">
        <v>5279</v>
      </c>
      <c r="E102" s="208" t="s">
        <v>5280</v>
      </c>
      <c r="F102" s="208" t="s">
        <v>41</v>
      </c>
      <c r="G102" s="208"/>
      <c r="H102" s="208">
        <v>2013.0</v>
      </c>
      <c r="I102" s="208" t="s">
        <v>5281</v>
      </c>
      <c r="J102" s="208" t="s">
        <v>5282</v>
      </c>
      <c r="K102" s="238" t="s">
        <v>5285</v>
      </c>
      <c r="L102" s="208" t="s">
        <v>4957</v>
      </c>
      <c r="M102" s="208" t="s">
        <v>5284</v>
      </c>
      <c r="N102" s="208"/>
      <c r="O102" s="8"/>
      <c r="P102" s="3"/>
      <c r="Q102" s="3"/>
      <c r="R102" s="3"/>
      <c r="S102" s="3"/>
      <c r="T102" s="3"/>
      <c r="U102" s="3"/>
      <c r="V102" s="3"/>
      <c r="W102" s="3"/>
      <c r="X102" s="3"/>
      <c r="Y102" s="3"/>
      <c r="Z102" s="3"/>
      <c r="AA102" s="3"/>
      <c r="AB102" s="3"/>
    </row>
    <row r="103">
      <c r="A103" s="208">
        <v>8572.0</v>
      </c>
      <c r="B103" s="240" t="s">
        <v>5286</v>
      </c>
      <c r="C103" s="8" t="str">
        <f>IFERROR(__xludf.DUMMYFUNCTION("GOOGLETRANSLATE(B103)"),"Royal Decree 376/2001, of April 6, which modifies Royal Decree 1415/2000, of July 21, which develops the basic organic structure of the Ministry of Environment")</f>
        <v>Royal Decree 376/2001, of April 6, which modifies Royal Decree 1415/2000, of July 21, which develops the basic organic structure of the Ministry of Environment</v>
      </c>
      <c r="D103" s="208" t="s">
        <v>5287</v>
      </c>
      <c r="E103" s="208" t="s">
        <v>5288</v>
      </c>
      <c r="F103" s="208" t="s">
        <v>5289</v>
      </c>
      <c r="G103" s="208"/>
      <c r="H103" s="208">
        <v>2001.0</v>
      </c>
      <c r="I103" s="208" t="s">
        <v>924</v>
      </c>
      <c r="J103" s="209" t="s">
        <v>5290</v>
      </c>
      <c r="K103" s="224" t="s">
        <v>5291</v>
      </c>
      <c r="L103" s="208" t="s">
        <v>4957</v>
      </c>
      <c r="M103" s="207"/>
      <c r="N103" s="208" t="s">
        <v>326</v>
      </c>
      <c r="O103" s="8" t="s">
        <v>823</v>
      </c>
      <c r="P103" s="3"/>
      <c r="Q103" s="3"/>
      <c r="R103" s="3"/>
      <c r="S103" s="3"/>
      <c r="T103" s="3"/>
      <c r="U103" s="3"/>
      <c r="V103" s="3"/>
      <c r="W103" s="3"/>
      <c r="X103" s="3"/>
      <c r="Y103" s="3"/>
      <c r="Z103" s="3"/>
      <c r="AA103" s="3"/>
      <c r="AB103" s="3"/>
    </row>
    <row r="104">
      <c r="A104" s="208">
        <v>8572.0</v>
      </c>
      <c r="B104" s="8" t="s">
        <v>5292</v>
      </c>
      <c r="C104" s="8" t="str">
        <f>IFERROR(__xludf.DUMMYFUNCTION("GOOGLETRANSLATE(B104)"),"Royal Decree 1000/2003, of July 25, which modifies Royal Decree 1415/2000, of July 21, which develops the basic organic structure of the Ministry of Environment")</f>
        <v>Royal Decree 1000/2003, of July 25, which modifies Royal Decree 1415/2000, of July 21, which develops the basic organic structure of the Ministry of Environment</v>
      </c>
      <c r="D104" s="208" t="s">
        <v>5287</v>
      </c>
      <c r="E104" s="208" t="s">
        <v>5288</v>
      </c>
      <c r="F104" s="208" t="s">
        <v>5289</v>
      </c>
      <c r="G104" s="208"/>
      <c r="H104" s="208">
        <v>2003.0</v>
      </c>
      <c r="I104" s="208" t="s">
        <v>924</v>
      </c>
      <c r="J104" s="209" t="s">
        <v>5290</v>
      </c>
      <c r="K104" s="238" t="s">
        <v>5293</v>
      </c>
      <c r="L104" s="208" t="s">
        <v>4957</v>
      </c>
      <c r="M104" s="207"/>
      <c r="N104" s="208"/>
      <c r="O104" s="8" t="s">
        <v>823</v>
      </c>
      <c r="P104" s="3"/>
      <c r="Q104" s="3"/>
      <c r="R104" s="3"/>
      <c r="S104" s="3"/>
      <c r="T104" s="3"/>
      <c r="U104" s="3"/>
      <c r="V104" s="3"/>
      <c r="W104" s="3"/>
      <c r="X104" s="3"/>
      <c r="Y104" s="3"/>
      <c r="Z104" s="3"/>
      <c r="AA104" s="3"/>
      <c r="AB104" s="3"/>
    </row>
    <row r="105">
      <c r="A105" s="208">
        <v>8572.0</v>
      </c>
      <c r="B105" s="8" t="s">
        <v>5294</v>
      </c>
      <c r="C105" s="8" t="str">
        <f>IFERROR(__xludf.DUMMYFUNCTION("GOOGLETRANSLATE(B105)"),"Royal Decree 1477/2004, of June 18, which develops the basic organic structure of the Ministry of Environment")</f>
        <v>Royal Decree 1477/2004, of June 18, which develops the basic organic structure of the Ministry of Environment</v>
      </c>
      <c r="D105" s="208" t="s">
        <v>5287</v>
      </c>
      <c r="E105" s="208" t="s">
        <v>5288</v>
      </c>
      <c r="F105" s="208" t="s">
        <v>5289</v>
      </c>
      <c r="G105" s="208"/>
      <c r="H105" s="208">
        <v>2004.0</v>
      </c>
      <c r="I105" s="208" t="s">
        <v>924</v>
      </c>
      <c r="J105" s="209" t="s">
        <v>5290</v>
      </c>
      <c r="K105" s="238" t="s">
        <v>5295</v>
      </c>
      <c r="L105" s="208" t="s">
        <v>4957</v>
      </c>
      <c r="M105" s="207"/>
      <c r="N105" s="208"/>
      <c r="O105" s="8" t="s">
        <v>823</v>
      </c>
      <c r="P105" s="3"/>
      <c r="Q105" s="3"/>
      <c r="R105" s="3"/>
      <c r="S105" s="3"/>
      <c r="T105" s="3"/>
      <c r="U105" s="3"/>
      <c r="V105" s="3"/>
      <c r="W105" s="3"/>
      <c r="X105" s="3"/>
      <c r="Y105" s="3"/>
      <c r="Z105" s="3"/>
      <c r="AA105" s="3"/>
      <c r="AB105" s="3"/>
    </row>
    <row r="106">
      <c r="A106" s="208">
        <v>8572.0</v>
      </c>
      <c r="B106" s="8" t="s">
        <v>5296</v>
      </c>
      <c r="C106" s="8" t="str">
        <f>IFERROR(__xludf.DUMMYFUNCTION("GOOGLETRANSLATE(B106)"),"Royal Decree 1334/2006, of November 21, which modifies Royal Decree 1477/2004, of June 18, which develops the basic organic structure of the Ministry of Environment")</f>
        <v>Royal Decree 1334/2006, of November 21, which modifies Royal Decree 1477/2004, of June 18, which develops the basic organic structure of the Ministry of Environment</v>
      </c>
      <c r="D106" s="208" t="s">
        <v>5287</v>
      </c>
      <c r="E106" s="208" t="s">
        <v>5288</v>
      </c>
      <c r="F106" s="208" t="s">
        <v>5289</v>
      </c>
      <c r="G106" s="208"/>
      <c r="H106" s="208">
        <v>2006.0</v>
      </c>
      <c r="I106" s="208" t="s">
        <v>924</v>
      </c>
      <c r="J106" s="209" t="s">
        <v>5290</v>
      </c>
      <c r="K106" s="238" t="s">
        <v>5297</v>
      </c>
      <c r="L106" s="208" t="s">
        <v>4957</v>
      </c>
      <c r="M106" s="207"/>
      <c r="N106" s="208"/>
      <c r="O106" s="8" t="s">
        <v>823</v>
      </c>
      <c r="P106" s="3"/>
      <c r="Q106" s="3"/>
      <c r="R106" s="3"/>
      <c r="S106" s="3"/>
      <c r="T106" s="3"/>
      <c r="U106" s="3"/>
      <c r="V106" s="3"/>
      <c r="W106" s="3"/>
      <c r="X106" s="3"/>
      <c r="Y106" s="3"/>
      <c r="Z106" s="3"/>
      <c r="AA106" s="3"/>
      <c r="AB106" s="3"/>
    </row>
    <row r="107">
      <c r="A107" s="208">
        <v>8572.0</v>
      </c>
      <c r="B107" s="8" t="s">
        <v>5298</v>
      </c>
      <c r="C107" s="8" t="str">
        <f>IFERROR(__xludf.DUMMYFUNCTION("GOOGLETRANSLATE(B107)"),"Royal Decree 424/2016, of November 11, which establishes the basic organic structure of the ministerial departments")</f>
        <v>Royal Decree 424/2016, of November 11, which establishes the basic organic structure of the ministerial departments</v>
      </c>
      <c r="D107" s="208" t="s">
        <v>5287</v>
      </c>
      <c r="E107" s="208" t="s">
        <v>5288</v>
      </c>
      <c r="F107" s="208" t="s">
        <v>5289</v>
      </c>
      <c r="G107" s="208"/>
      <c r="H107" s="208">
        <v>2016.0</v>
      </c>
      <c r="I107" s="208" t="s">
        <v>924</v>
      </c>
      <c r="J107" s="209" t="s">
        <v>5290</v>
      </c>
      <c r="K107" s="238" t="s">
        <v>5299</v>
      </c>
      <c r="L107" s="208" t="s">
        <v>4957</v>
      </c>
      <c r="M107" s="207"/>
      <c r="N107" s="208"/>
      <c r="O107" s="8" t="s">
        <v>823</v>
      </c>
      <c r="P107" s="3"/>
      <c r="Q107" s="3"/>
      <c r="R107" s="3"/>
      <c r="S107" s="3"/>
      <c r="T107" s="3"/>
      <c r="U107" s="3"/>
      <c r="V107" s="3"/>
      <c r="W107" s="3"/>
      <c r="X107" s="3"/>
      <c r="Y107" s="3"/>
      <c r="Z107" s="3"/>
      <c r="AA107" s="3"/>
      <c r="AB107" s="3"/>
    </row>
    <row r="108">
      <c r="A108" s="208">
        <v>8572.0</v>
      </c>
      <c r="B108" s="8" t="s">
        <v>5300</v>
      </c>
      <c r="C108" s="8" t="str">
        <f>IFERROR(__xludf.DUMMYFUNCTION("GOOGLETRANSLATE(B108)"),"Royal Decree 895/2017, of October 6, which develops the basic organic structure of the Ministry of Agriculture and Fisheries, Food and Environment and Royal Decree 424/2016, of November 11, is modified, which is why establishes the basic organic structure"&amp;" of ministerial departments")</f>
        <v>Royal Decree 895/2017, of October 6, which develops the basic organic structure of the Ministry of Agriculture and Fisheries, Food and Environment and Royal Decree 424/2016, of November 11, is modified, which is why establishes the basic organic structure of ministerial departments</v>
      </c>
      <c r="D108" s="208" t="s">
        <v>5287</v>
      </c>
      <c r="E108" s="208" t="s">
        <v>5288</v>
      </c>
      <c r="F108" s="208" t="s">
        <v>5289</v>
      </c>
      <c r="G108" s="208"/>
      <c r="H108" s="208">
        <v>2017.0</v>
      </c>
      <c r="I108" s="208" t="s">
        <v>924</v>
      </c>
      <c r="J108" s="209" t="s">
        <v>5290</v>
      </c>
      <c r="K108" s="238" t="s">
        <v>5301</v>
      </c>
      <c r="L108" s="208" t="s">
        <v>4957</v>
      </c>
      <c r="M108" s="207"/>
      <c r="N108" s="208"/>
      <c r="O108" s="8" t="s">
        <v>823</v>
      </c>
      <c r="P108" s="3"/>
      <c r="Q108" s="3"/>
      <c r="R108" s="3"/>
      <c r="S108" s="3"/>
      <c r="T108" s="3"/>
      <c r="U108" s="3"/>
      <c r="V108" s="3"/>
      <c r="W108" s="3"/>
      <c r="X108" s="3"/>
      <c r="Y108" s="3"/>
      <c r="Z108" s="3"/>
      <c r="AA108" s="3"/>
      <c r="AB108" s="3"/>
    </row>
    <row r="109">
      <c r="A109" s="208">
        <v>8575.0</v>
      </c>
      <c r="B109" s="5"/>
      <c r="C109" s="8"/>
      <c r="D109" s="208" t="s">
        <v>5287</v>
      </c>
      <c r="E109" s="208" t="s">
        <v>5288</v>
      </c>
      <c r="F109" s="207"/>
      <c r="G109" s="207"/>
      <c r="H109" s="207"/>
      <c r="I109" s="207"/>
      <c r="J109" s="208" t="s">
        <v>5302</v>
      </c>
      <c r="K109" s="224" t="s">
        <v>5303</v>
      </c>
      <c r="L109" s="208" t="s">
        <v>4957</v>
      </c>
      <c r="M109" s="207"/>
      <c r="N109" s="208" t="s">
        <v>37</v>
      </c>
      <c r="O109" s="8" t="s">
        <v>893</v>
      </c>
      <c r="P109" s="3"/>
      <c r="Q109" s="3"/>
      <c r="R109" s="3"/>
      <c r="S109" s="3"/>
      <c r="T109" s="3"/>
      <c r="U109" s="3"/>
      <c r="V109" s="3"/>
      <c r="W109" s="3"/>
      <c r="X109" s="3"/>
      <c r="Y109" s="3"/>
      <c r="Z109" s="3"/>
      <c r="AA109" s="3"/>
      <c r="AB109" s="3"/>
    </row>
    <row r="110">
      <c r="A110" s="208">
        <v>8575.0</v>
      </c>
      <c r="B110" s="5"/>
      <c r="C110" s="8"/>
      <c r="D110" s="208" t="s">
        <v>5287</v>
      </c>
      <c r="E110" s="208" t="s">
        <v>5288</v>
      </c>
      <c r="F110" s="207"/>
      <c r="G110" s="207"/>
      <c r="H110" s="207"/>
      <c r="I110" s="207"/>
      <c r="J110" s="208" t="s">
        <v>5302</v>
      </c>
      <c r="K110" s="238" t="s">
        <v>5304</v>
      </c>
      <c r="L110" s="208" t="s">
        <v>4957</v>
      </c>
      <c r="M110" s="207"/>
      <c r="N110" s="208"/>
      <c r="O110" s="8" t="s">
        <v>893</v>
      </c>
      <c r="P110" s="3"/>
      <c r="Q110" s="3"/>
      <c r="R110" s="3"/>
      <c r="S110" s="3"/>
      <c r="T110" s="3"/>
      <c r="U110" s="3"/>
      <c r="V110" s="3"/>
      <c r="W110" s="3"/>
      <c r="X110" s="3"/>
      <c r="Y110" s="3"/>
      <c r="Z110" s="3"/>
      <c r="AA110" s="3"/>
      <c r="AB110" s="3"/>
    </row>
    <row r="111">
      <c r="A111" s="208">
        <v>8615.0</v>
      </c>
      <c r="B111" s="241" t="s">
        <v>5305</v>
      </c>
      <c r="C111" s="8" t="s">
        <v>5306</v>
      </c>
      <c r="D111" s="208" t="s">
        <v>5307</v>
      </c>
      <c r="E111" s="208" t="s">
        <v>5308</v>
      </c>
      <c r="F111" s="208" t="s">
        <v>34</v>
      </c>
      <c r="G111" s="207"/>
      <c r="H111" s="207"/>
      <c r="I111" s="208" t="s">
        <v>948</v>
      </c>
      <c r="J111" s="209" t="s">
        <v>5309</v>
      </c>
      <c r="K111" s="224" t="s">
        <v>5310</v>
      </c>
      <c r="L111" s="208" t="s">
        <v>4957</v>
      </c>
      <c r="M111" s="207"/>
      <c r="N111" s="208" t="s">
        <v>92</v>
      </c>
      <c r="O111" s="8" t="s">
        <v>5277</v>
      </c>
      <c r="P111" s="3"/>
      <c r="Q111" s="3"/>
      <c r="R111" s="3"/>
      <c r="S111" s="3"/>
      <c r="T111" s="3"/>
      <c r="U111" s="3"/>
      <c r="V111" s="3"/>
      <c r="W111" s="3"/>
      <c r="X111" s="3"/>
      <c r="Y111" s="3"/>
      <c r="Z111" s="3"/>
      <c r="AA111" s="3"/>
      <c r="AB111" s="3"/>
    </row>
    <row r="112">
      <c r="A112" s="208">
        <v>8615.0</v>
      </c>
      <c r="B112" s="8" t="s">
        <v>5311</v>
      </c>
      <c r="C112" s="8"/>
      <c r="D112" s="208" t="s">
        <v>5307</v>
      </c>
      <c r="E112" s="208" t="s">
        <v>5308</v>
      </c>
      <c r="F112" s="208" t="s">
        <v>45</v>
      </c>
      <c r="G112" s="208"/>
      <c r="H112" s="208">
        <v>2019.0</v>
      </c>
      <c r="I112" s="208" t="s">
        <v>24</v>
      </c>
      <c r="J112" s="209" t="s">
        <v>5309</v>
      </c>
      <c r="K112" s="238" t="s">
        <v>5312</v>
      </c>
      <c r="L112" s="208" t="s">
        <v>4957</v>
      </c>
      <c r="M112" s="207"/>
      <c r="N112" s="208"/>
      <c r="O112" s="8" t="s">
        <v>823</v>
      </c>
      <c r="P112" s="3"/>
      <c r="Q112" s="3"/>
      <c r="R112" s="3"/>
      <c r="S112" s="3"/>
      <c r="T112" s="3"/>
      <c r="U112" s="3"/>
      <c r="V112" s="3"/>
      <c r="W112" s="3"/>
      <c r="X112" s="3"/>
      <c r="Y112" s="3"/>
      <c r="Z112" s="3"/>
      <c r="AA112" s="3"/>
      <c r="AB112" s="3"/>
    </row>
    <row r="113">
      <c r="A113" s="208">
        <v>8606.0</v>
      </c>
      <c r="B113" s="242" t="s">
        <v>5313</v>
      </c>
      <c r="C113" s="8" t="str">
        <f>IFERROR(__xludf.DUMMYFUNCTION("GOOGLETRANSLATE(B113)"),"KHK/644 The establishment of the Ministry of Environment and Urbanization and changing some laws and decrees")</f>
        <v>KHK/644 The establishment of the Ministry of Environment and Urbanization and changing some laws and decrees</v>
      </c>
      <c r="D113" s="208" t="s">
        <v>5314</v>
      </c>
      <c r="E113" s="208" t="s">
        <v>5315</v>
      </c>
      <c r="F113" s="208" t="s">
        <v>217</v>
      </c>
      <c r="G113" s="208"/>
      <c r="H113" s="208">
        <v>2011.0</v>
      </c>
      <c r="I113" s="208" t="s">
        <v>5316</v>
      </c>
      <c r="J113" s="208" t="s">
        <v>5317</v>
      </c>
      <c r="K113" s="224" t="s">
        <v>5318</v>
      </c>
      <c r="L113" s="208" t="s">
        <v>4957</v>
      </c>
      <c r="M113" s="207"/>
      <c r="N113" s="208" t="s">
        <v>37</v>
      </c>
      <c r="O113" s="8" t="s">
        <v>823</v>
      </c>
      <c r="P113" s="3"/>
      <c r="Q113" s="3"/>
      <c r="R113" s="3"/>
      <c r="S113" s="3"/>
      <c r="T113" s="3"/>
      <c r="U113" s="3"/>
      <c r="V113" s="3"/>
      <c r="W113" s="3"/>
      <c r="X113" s="3"/>
      <c r="Y113" s="3"/>
      <c r="Z113" s="3"/>
      <c r="AA113" s="3"/>
      <c r="AB113" s="3"/>
    </row>
    <row r="114">
      <c r="A114" s="208">
        <v>8606.0</v>
      </c>
      <c r="B114" s="243" t="s">
        <v>5319</v>
      </c>
      <c r="C114" s="5" t="str">
        <f>IFERROR(__xludf.DUMMYFUNCTION("GOOGLETRANSLATE(B114)"),"Decree Law on the Organization and Duties of the Ministry of Environment and Urbanization and the Decree Laws and Decree Laws")</f>
        <v>Decree Law on the Organization and Duties of the Ministry of Environment and Urbanization and the Decree Laws and Decree Laws</v>
      </c>
      <c r="D114" s="208" t="s">
        <v>5314</v>
      </c>
      <c r="E114" s="208" t="s">
        <v>5315</v>
      </c>
      <c r="F114" s="208" t="s">
        <v>217</v>
      </c>
      <c r="G114" s="208"/>
      <c r="H114" s="208">
        <v>2011.0</v>
      </c>
      <c r="I114" s="208" t="s">
        <v>5316</v>
      </c>
      <c r="J114" s="208" t="s">
        <v>5317</v>
      </c>
      <c r="K114" s="238" t="s">
        <v>5320</v>
      </c>
      <c r="L114" s="208" t="s">
        <v>4957</v>
      </c>
      <c r="M114" s="207"/>
      <c r="N114" s="207"/>
      <c r="O114" s="8" t="s">
        <v>823</v>
      </c>
      <c r="P114" s="3"/>
      <c r="Q114" s="3"/>
      <c r="R114" s="3"/>
      <c r="S114" s="3"/>
      <c r="T114" s="3"/>
      <c r="U114" s="3"/>
      <c r="V114" s="3"/>
      <c r="W114" s="3"/>
      <c r="X114" s="3"/>
      <c r="Y114" s="3"/>
      <c r="Z114" s="3"/>
      <c r="AA114" s="3"/>
      <c r="AB114" s="3"/>
    </row>
    <row r="115">
      <c r="A115" s="208">
        <v>8606.0</v>
      </c>
      <c r="B115" s="244" t="s">
        <v>5321</v>
      </c>
      <c r="C115" s="5" t="str">
        <f>IFERROR(__xludf.DUMMYFUNCTION("GOOGLETRANSLATE(B115)"),"Regulation on Florian Greenhouse Gases First Chapter")</f>
        <v>Regulation on Florian Greenhouse Gases First Chapter</v>
      </c>
      <c r="D115" s="208" t="s">
        <v>5314</v>
      </c>
      <c r="E115" s="208" t="s">
        <v>5315</v>
      </c>
      <c r="F115" s="208" t="s">
        <v>34</v>
      </c>
      <c r="G115" s="208"/>
      <c r="H115" s="208">
        <v>2018.0</v>
      </c>
      <c r="I115" s="208" t="s">
        <v>5316</v>
      </c>
      <c r="J115" s="208" t="s">
        <v>5317</v>
      </c>
      <c r="K115" s="238" t="s">
        <v>5322</v>
      </c>
      <c r="L115" s="208" t="s">
        <v>4957</v>
      </c>
      <c r="M115" s="207"/>
      <c r="N115" s="207"/>
      <c r="O115" s="8" t="s">
        <v>5323</v>
      </c>
      <c r="P115" s="3"/>
      <c r="Q115" s="3"/>
      <c r="R115" s="3"/>
      <c r="S115" s="3"/>
      <c r="T115" s="3"/>
      <c r="U115" s="3"/>
      <c r="V115" s="3"/>
      <c r="W115" s="3"/>
      <c r="X115" s="3"/>
      <c r="Y115" s="3"/>
      <c r="Z115" s="3"/>
      <c r="AA115" s="3"/>
      <c r="AB115" s="3"/>
    </row>
    <row r="116">
      <c r="A116" s="138"/>
      <c r="B116" s="245"/>
      <c r="C116" s="25"/>
      <c r="D116" s="138"/>
      <c r="E116" s="138"/>
      <c r="F116" s="138"/>
      <c r="G116" s="138"/>
      <c r="H116" s="138"/>
      <c r="I116" s="138"/>
      <c r="J116" s="138"/>
      <c r="K116" s="138"/>
      <c r="L116" s="138"/>
      <c r="M116" s="138"/>
      <c r="N116" s="138"/>
      <c r="O116" s="25"/>
    </row>
    <row r="117">
      <c r="A117" s="138"/>
      <c r="B117" s="246"/>
      <c r="C117" s="25"/>
      <c r="D117" s="138"/>
      <c r="E117" s="138"/>
      <c r="F117" s="138"/>
      <c r="G117" s="138"/>
      <c r="H117" s="138"/>
      <c r="I117" s="138"/>
      <c r="J117" s="138"/>
      <c r="K117" s="138"/>
      <c r="L117" s="138"/>
      <c r="M117" s="138"/>
      <c r="N117" s="138"/>
      <c r="O117" s="25"/>
    </row>
    <row r="118">
      <c r="A118" s="138"/>
      <c r="B118" s="25"/>
      <c r="C118" s="25"/>
      <c r="D118" s="138"/>
      <c r="E118" s="138"/>
      <c r="F118" s="138"/>
      <c r="G118" s="138"/>
      <c r="H118" s="138"/>
      <c r="I118" s="138"/>
      <c r="J118" s="138"/>
      <c r="K118" s="138"/>
      <c r="L118" s="138"/>
      <c r="M118" s="138"/>
      <c r="N118" s="138"/>
      <c r="O118" s="25"/>
    </row>
    <row r="119">
      <c r="A119" s="138"/>
      <c r="B119" s="25"/>
      <c r="C119" s="25"/>
      <c r="D119" s="138"/>
      <c r="E119" s="138"/>
      <c r="F119" s="138"/>
      <c r="G119" s="138"/>
      <c r="H119" s="138"/>
      <c r="I119" s="138"/>
      <c r="J119" s="138"/>
      <c r="K119" s="138"/>
      <c r="L119" s="138"/>
      <c r="M119" s="138"/>
      <c r="N119" s="138"/>
      <c r="O119" s="25"/>
    </row>
    <row r="120">
      <c r="A120" s="138"/>
      <c r="B120" s="25"/>
      <c r="C120" s="25"/>
      <c r="D120" s="138"/>
      <c r="E120" s="138"/>
      <c r="F120" s="138"/>
      <c r="G120" s="138"/>
      <c r="H120" s="138"/>
      <c r="I120" s="138"/>
      <c r="J120" s="138"/>
      <c r="K120" s="138"/>
      <c r="L120" s="138"/>
      <c r="M120" s="138"/>
      <c r="N120" s="138"/>
      <c r="O120" s="25"/>
    </row>
    <row r="121">
      <c r="A121" s="138"/>
      <c r="B121" s="25"/>
      <c r="C121" s="25"/>
      <c r="D121" s="138"/>
      <c r="E121" s="138"/>
      <c r="F121" s="138"/>
      <c r="G121" s="138"/>
      <c r="H121" s="138"/>
      <c r="I121" s="138"/>
      <c r="J121" s="138"/>
      <c r="K121" s="138"/>
      <c r="L121" s="138"/>
      <c r="M121" s="138"/>
      <c r="N121" s="138"/>
      <c r="O121" s="25"/>
    </row>
    <row r="122">
      <c r="A122" s="138"/>
      <c r="B122" s="25"/>
      <c r="C122" s="25"/>
      <c r="D122" s="138"/>
      <c r="E122" s="138"/>
      <c r="F122" s="138"/>
      <c r="G122" s="138"/>
      <c r="H122" s="138"/>
      <c r="I122" s="138"/>
      <c r="J122" s="138"/>
      <c r="K122" s="138"/>
      <c r="L122" s="138"/>
      <c r="M122" s="138"/>
      <c r="N122" s="138"/>
      <c r="O122" s="25"/>
    </row>
    <row r="123">
      <c r="A123" s="138"/>
      <c r="B123" s="25"/>
      <c r="C123" s="25"/>
      <c r="D123" s="138"/>
      <c r="E123" s="138"/>
      <c r="F123" s="138"/>
      <c r="G123" s="138"/>
      <c r="H123" s="138"/>
      <c r="I123" s="138"/>
      <c r="J123" s="138"/>
      <c r="K123" s="138"/>
      <c r="L123" s="138"/>
      <c r="M123" s="138"/>
      <c r="N123" s="138"/>
      <c r="O123" s="25"/>
    </row>
    <row r="124">
      <c r="A124" s="138"/>
      <c r="B124" s="25"/>
      <c r="C124" s="25"/>
      <c r="D124" s="138"/>
      <c r="E124" s="138"/>
      <c r="F124" s="138"/>
      <c r="G124" s="138"/>
      <c r="H124" s="138"/>
      <c r="I124" s="138"/>
      <c r="J124" s="138"/>
      <c r="K124" s="138"/>
      <c r="L124" s="138"/>
      <c r="M124" s="138"/>
      <c r="N124" s="138"/>
      <c r="O124" s="25"/>
    </row>
    <row r="125">
      <c r="A125" s="138"/>
      <c r="B125" s="25"/>
      <c r="C125" s="25"/>
      <c r="D125" s="138"/>
      <c r="E125" s="138"/>
      <c r="F125" s="138"/>
      <c r="G125" s="138"/>
      <c r="H125" s="138"/>
      <c r="I125" s="138"/>
      <c r="J125" s="138"/>
      <c r="K125" s="138"/>
      <c r="L125" s="138"/>
      <c r="M125" s="138"/>
      <c r="N125" s="138"/>
      <c r="O125" s="25"/>
    </row>
    <row r="126">
      <c r="A126" s="138"/>
      <c r="B126" s="25"/>
      <c r="C126" s="25"/>
      <c r="D126" s="138"/>
      <c r="E126" s="138"/>
      <c r="F126" s="138"/>
      <c r="G126" s="138"/>
      <c r="H126" s="138"/>
      <c r="I126" s="138"/>
      <c r="J126" s="138"/>
      <c r="K126" s="138"/>
      <c r="L126" s="138"/>
      <c r="M126" s="138"/>
      <c r="N126" s="138"/>
      <c r="O126" s="25"/>
    </row>
    <row r="127">
      <c r="A127" s="138"/>
      <c r="B127" s="25"/>
      <c r="C127" s="25"/>
      <c r="D127" s="138"/>
      <c r="E127" s="138"/>
      <c r="F127" s="138"/>
      <c r="G127" s="138"/>
      <c r="H127" s="138"/>
      <c r="I127" s="138"/>
      <c r="J127" s="138"/>
      <c r="K127" s="138"/>
      <c r="L127" s="138"/>
      <c r="M127" s="138"/>
      <c r="N127" s="138"/>
      <c r="O127" s="25"/>
    </row>
    <row r="128">
      <c r="A128" s="138"/>
      <c r="B128" s="25"/>
      <c r="C128" s="25"/>
      <c r="D128" s="138"/>
      <c r="E128" s="138"/>
      <c r="F128" s="138"/>
      <c r="G128" s="138"/>
      <c r="H128" s="138"/>
      <c r="I128" s="138"/>
      <c r="J128" s="138"/>
      <c r="K128" s="138"/>
      <c r="L128" s="138"/>
      <c r="M128" s="138"/>
      <c r="N128" s="138"/>
      <c r="O128" s="25"/>
    </row>
    <row r="129">
      <c r="A129" s="138"/>
      <c r="B129" s="25"/>
      <c r="C129" s="25"/>
      <c r="D129" s="138"/>
      <c r="E129" s="138"/>
      <c r="F129" s="138"/>
      <c r="G129" s="138"/>
      <c r="H129" s="138"/>
      <c r="I129" s="138"/>
      <c r="J129" s="138"/>
      <c r="K129" s="138"/>
      <c r="L129" s="138"/>
      <c r="M129" s="138"/>
      <c r="N129" s="138"/>
      <c r="O129" s="25"/>
    </row>
    <row r="130">
      <c r="A130" s="138"/>
      <c r="B130" s="25"/>
      <c r="C130" s="25"/>
      <c r="D130" s="138"/>
      <c r="E130" s="138"/>
      <c r="F130" s="138"/>
      <c r="G130" s="138"/>
      <c r="H130" s="138"/>
      <c r="I130" s="138"/>
      <c r="J130" s="138"/>
      <c r="K130" s="138"/>
      <c r="L130" s="138"/>
      <c r="M130" s="138"/>
      <c r="N130" s="138"/>
      <c r="O130" s="25"/>
    </row>
    <row r="131">
      <c r="A131" s="138"/>
      <c r="B131" s="25"/>
      <c r="C131" s="25"/>
      <c r="D131" s="138"/>
      <c r="E131" s="138"/>
      <c r="F131" s="138"/>
      <c r="G131" s="138"/>
      <c r="H131" s="138"/>
      <c r="I131" s="138"/>
      <c r="J131" s="138"/>
      <c r="K131" s="138"/>
      <c r="L131" s="138"/>
      <c r="M131" s="138"/>
      <c r="N131" s="138"/>
      <c r="O131" s="25"/>
    </row>
    <row r="132">
      <c r="A132" s="138"/>
      <c r="B132" s="25"/>
      <c r="C132" s="25"/>
      <c r="D132" s="138"/>
      <c r="E132" s="138"/>
      <c r="F132" s="138"/>
      <c r="G132" s="138"/>
      <c r="H132" s="138"/>
      <c r="I132" s="138"/>
      <c r="J132" s="138"/>
      <c r="K132" s="138"/>
      <c r="L132" s="138"/>
      <c r="M132" s="138"/>
      <c r="N132" s="138"/>
      <c r="O132" s="25"/>
    </row>
    <row r="133">
      <c r="A133" s="138"/>
      <c r="B133" s="25"/>
      <c r="C133" s="25"/>
      <c r="D133" s="138"/>
      <c r="E133" s="138"/>
      <c r="F133" s="138"/>
      <c r="G133" s="138"/>
      <c r="H133" s="138"/>
      <c r="I133" s="138"/>
      <c r="J133" s="138"/>
      <c r="K133" s="138"/>
      <c r="L133" s="138"/>
      <c r="M133" s="138"/>
      <c r="N133" s="138"/>
      <c r="O133" s="25"/>
    </row>
    <row r="134">
      <c r="A134" s="138"/>
      <c r="B134" s="25"/>
      <c r="C134" s="25"/>
      <c r="D134" s="138"/>
      <c r="E134" s="138"/>
      <c r="F134" s="138"/>
      <c r="G134" s="138"/>
      <c r="H134" s="138"/>
      <c r="I134" s="138"/>
      <c r="J134" s="138"/>
      <c r="K134" s="138"/>
      <c r="L134" s="138"/>
      <c r="M134" s="138"/>
      <c r="N134" s="138"/>
      <c r="O134" s="25"/>
    </row>
    <row r="135">
      <c r="A135" s="138"/>
      <c r="B135" s="25"/>
      <c r="C135" s="25"/>
      <c r="D135" s="138"/>
      <c r="E135" s="138"/>
      <c r="F135" s="138"/>
      <c r="G135" s="138"/>
      <c r="H135" s="138"/>
      <c r="I135" s="138"/>
      <c r="J135" s="138"/>
      <c r="K135" s="138"/>
      <c r="L135" s="138"/>
      <c r="M135" s="138"/>
      <c r="N135" s="138"/>
      <c r="O135" s="25"/>
    </row>
    <row r="136">
      <c r="A136" s="138"/>
      <c r="B136" s="25"/>
      <c r="C136" s="25"/>
      <c r="D136" s="138"/>
      <c r="E136" s="138"/>
      <c r="F136" s="138"/>
      <c r="G136" s="138"/>
      <c r="H136" s="138"/>
      <c r="I136" s="138"/>
      <c r="J136" s="138"/>
      <c r="K136" s="138"/>
      <c r="L136" s="138"/>
      <c r="M136" s="138"/>
      <c r="N136" s="138"/>
      <c r="O136" s="25"/>
    </row>
    <row r="137">
      <c r="A137" s="138"/>
      <c r="B137" s="25"/>
      <c r="C137" s="25"/>
      <c r="D137" s="138"/>
      <c r="E137" s="138"/>
      <c r="F137" s="138"/>
      <c r="G137" s="138"/>
      <c r="H137" s="138"/>
      <c r="I137" s="138"/>
      <c r="J137" s="138"/>
      <c r="K137" s="138"/>
      <c r="L137" s="138"/>
      <c r="M137" s="138"/>
      <c r="N137" s="138"/>
      <c r="O137" s="25"/>
    </row>
    <row r="138">
      <c r="A138" s="138"/>
      <c r="B138" s="25"/>
      <c r="C138" s="25"/>
      <c r="D138" s="138"/>
      <c r="E138" s="138"/>
      <c r="F138" s="138"/>
      <c r="G138" s="138"/>
      <c r="H138" s="138"/>
      <c r="I138" s="138"/>
      <c r="J138" s="138"/>
      <c r="K138" s="138"/>
      <c r="L138" s="138"/>
      <c r="M138" s="138"/>
      <c r="N138" s="138"/>
      <c r="O138" s="25"/>
    </row>
    <row r="139">
      <c r="A139" s="138"/>
      <c r="B139" s="25"/>
      <c r="C139" s="25"/>
      <c r="D139" s="138"/>
      <c r="E139" s="138"/>
      <c r="F139" s="138"/>
      <c r="G139" s="138"/>
      <c r="H139" s="138"/>
      <c r="I139" s="138"/>
      <c r="J139" s="138"/>
      <c r="K139" s="138"/>
      <c r="L139" s="138"/>
      <c r="M139" s="138"/>
      <c r="N139" s="138"/>
      <c r="O139" s="25"/>
    </row>
    <row r="140">
      <c r="A140" s="138"/>
      <c r="B140" s="25"/>
      <c r="C140" s="25"/>
      <c r="D140" s="138"/>
      <c r="E140" s="138"/>
      <c r="F140" s="138"/>
      <c r="G140" s="138"/>
      <c r="H140" s="138"/>
      <c r="I140" s="138"/>
      <c r="J140" s="138"/>
      <c r="K140" s="138"/>
      <c r="L140" s="138"/>
      <c r="M140" s="138"/>
      <c r="N140" s="138"/>
      <c r="O140" s="25"/>
    </row>
    <row r="141">
      <c r="A141" s="138"/>
      <c r="B141" s="25"/>
      <c r="C141" s="25"/>
      <c r="D141" s="138"/>
      <c r="E141" s="138"/>
      <c r="F141" s="138"/>
      <c r="G141" s="138"/>
      <c r="H141" s="138"/>
      <c r="I141" s="138"/>
      <c r="J141" s="138"/>
      <c r="K141" s="138"/>
      <c r="L141" s="138"/>
      <c r="M141" s="138"/>
      <c r="N141" s="138"/>
      <c r="O141" s="25"/>
    </row>
    <row r="142">
      <c r="A142" s="138"/>
      <c r="B142" s="25"/>
      <c r="C142" s="25"/>
      <c r="D142" s="138"/>
      <c r="E142" s="138"/>
      <c r="F142" s="138"/>
      <c r="G142" s="138"/>
      <c r="H142" s="138"/>
      <c r="I142" s="138"/>
      <c r="J142" s="138"/>
      <c r="K142" s="138"/>
      <c r="L142" s="138"/>
      <c r="M142" s="138"/>
      <c r="N142" s="138"/>
      <c r="O142" s="25"/>
    </row>
    <row r="143">
      <c r="A143" s="138"/>
      <c r="B143" s="25"/>
      <c r="C143" s="25"/>
      <c r="D143" s="138"/>
      <c r="E143" s="138"/>
      <c r="F143" s="138"/>
      <c r="G143" s="138"/>
      <c r="H143" s="138"/>
      <c r="I143" s="138"/>
      <c r="J143" s="138"/>
      <c r="K143" s="138"/>
      <c r="L143" s="138"/>
      <c r="M143" s="138"/>
      <c r="N143" s="138"/>
      <c r="O143" s="25"/>
    </row>
    <row r="144">
      <c r="A144" s="138"/>
      <c r="B144" s="25"/>
      <c r="C144" s="25"/>
      <c r="D144" s="138"/>
      <c r="E144" s="138"/>
      <c r="F144" s="138"/>
      <c r="G144" s="138"/>
      <c r="H144" s="138"/>
      <c r="I144" s="138"/>
      <c r="J144" s="138"/>
      <c r="K144" s="138"/>
      <c r="L144" s="138"/>
      <c r="M144" s="138"/>
      <c r="N144" s="138"/>
      <c r="O144" s="25"/>
    </row>
    <row r="145">
      <c r="A145" s="138"/>
      <c r="B145" s="25"/>
      <c r="C145" s="25"/>
      <c r="D145" s="138"/>
      <c r="E145" s="138"/>
      <c r="F145" s="138"/>
      <c r="G145" s="138"/>
      <c r="H145" s="138"/>
      <c r="I145" s="138"/>
      <c r="J145" s="138"/>
      <c r="K145" s="138"/>
      <c r="L145" s="138"/>
      <c r="M145" s="138"/>
      <c r="N145" s="138"/>
      <c r="O145" s="25"/>
    </row>
    <row r="146">
      <c r="A146" s="138"/>
      <c r="B146" s="25"/>
      <c r="C146" s="25"/>
      <c r="D146" s="138"/>
      <c r="E146" s="138"/>
      <c r="F146" s="138"/>
      <c r="G146" s="138"/>
      <c r="H146" s="138"/>
      <c r="I146" s="138"/>
      <c r="J146" s="138"/>
      <c r="K146" s="138"/>
      <c r="L146" s="138"/>
      <c r="M146" s="138"/>
      <c r="N146" s="138"/>
      <c r="O146" s="25"/>
    </row>
    <row r="147">
      <c r="A147" s="138"/>
      <c r="B147" s="25"/>
      <c r="C147" s="25"/>
      <c r="D147" s="138"/>
      <c r="E147" s="138"/>
      <c r="F147" s="138"/>
      <c r="G147" s="138"/>
      <c r="H147" s="138"/>
      <c r="I147" s="138"/>
      <c r="J147" s="138"/>
      <c r="K147" s="138"/>
      <c r="L147" s="138"/>
      <c r="M147" s="138"/>
      <c r="N147" s="138"/>
      <c r="O147" s="25"/>
    </row>
    <row r="148">
      <c r="A148" s="138"/>
      <c r="B148" s="25"/>
      <c r="C148" s="25"/>
      <c r="D148" s="138"/>
      <c r="E148" s="138"/>
      <c r="F148" s="138"/>
      <c r="G148" s="138"/>
      <c r="H148" s="138"/>
      <c r="I148" s="138"/>
      <c r="J148" s="138"/>
      <c r="K148" s="138"/>
      <c r="L148" s="138"/>
      <c r="M148" s="138"/>
      <c r="N148" s="138"/>
      <c r="O148" s="25"/>
    </row>
    <row r="149">
      <c r="A149" s="138"/>
      <c r="B149" s="25"/>
      <c r="C149" s="25"/>
      <c r="D149" s="138"/>
      <c r="E149" s="138"/>
      <c r="F149" s="138"/>
      <c r="G149" s="138"/>
      <c r="H149" s="138"/>
      <c r="I149" s="138"/>
      <c r="J149" s="138"/>
      <c r="K149" s="138"/>
      <c r="L149" s="138"/>
      <c r="M149" s="138"/>
      <c r="N149" s="138"/>
      <c r="O149" s="25"/>
    </row>
    <row r="150">
      <c r="A150" s="138"/>
      <c r="B150" s="25"/>
      <c r="C150" s="25"/>
      <c r="D150" s="138"/>
      <c r="E150" s="138"/>
      <c r="F150" s="138"/>
      <c r="G150" s="138"/>
      <c r="H150" s="138"/>
      <c r="I150" s="138"/>
      <c r="J150" s="138"/>
      <c r="K150" s="138"/>
      <c r="L150" s="138"/>
      <c r="M150" s="138"/>
      <c r="N150" s="138"/>
      <c r="O150" s="25"/>
    </row>
    <row r="151">
      <c r="A151" s="138"/>
      <c r="B151" s="25"/>
      <c r="C151" s="25"/>
      <c r="D151" s="138"/>
      <c r="E151" s="138"/>
      <c r="F151" s="138"/>
      <c r="G151" s="138"/>
      <c r="H151" s="138"/>
      <c r="I151" s="138"/>
      <c r="J151" s="138"/>
      <c r="K151" s="138"/>
      <c r="L151" s="138"/>
      <c r="M151" s="138"/>
      <c r="N151" s="138"/>
      <c r="O151" s="25"/>
    </row>
    <row r="152">
      <c r="A152" s="138"/>
      <c r="B152" s="25"/>
      <c r="C152" s="25"/>
      <c r="D152" s="138"/>
      <c r="E152" s="138"/>
      <c r="F152" s="138"/>
      <c r="G152" s="138"/>
      <c r="H152" s="138"/>
      <c r="I152" s="138"/>
      <c r="J152" s="138"/>
      <c r="K152" s="138"/>
      <c r="L152" s="138"/>
      <c r="M152" s="138"/>
      <c r="N152" s="138"/>
      <c r="O152" s="25"/>
    </row>
    <row r="153">
      <c r="A153" s="138"/>
      <c r="B153" s="25"/>
      <c r="C153" s="25"/>
      <c r="D153" s="138"/>
      <c r="E153" s="138"/>
      <c r="F153" s="138"/>
      <c r="G153" s="138"/>
      <c r="H153" s="138"/>
      <c r="I153" s="138"/>
      <c r="J153" s="138"/>
      <c r="K153" s="138"/>
      <c r="L153" s="138"/>
      <c r="M153" s="138"/>
      <c r="N153" s="138"/>
      <c r="O153" s="25"/>
    </row>
    <row r="154">
      <c r="A154" s="138"/>
      <c r="B154" s="25"/>
      <c r="C154" s="25"/>
      <c r="D154" s="138"/>
      <c r="E154" s="138"/>
      <c r="F154" s="138"/>
      <c r="G154" s="138"/>
      <c r="H154" s="138"/>
      <c r="I154" s="138"/>
      <c r="J154" s="138"/>
      <c r="K154" s="138"/>
      <c r="L154" s="138"/>
      <c r="M154" s="138"/>
      <c r="N154" s="138"/>
      <c r="O154" s="25"/>
    </row>
    <row r="155">
      <c r="A155" s="138"/>
      <c r="B155" s="25"/>
      <c r="C155" s="25"/>
      <c r="D155" s="138"/>
      <c r="E155" s="138"/>
      <c r="F155" s="138"/>
      <c r="G155" s="138"/>
      <c r="H155" s="138"/>
      <c r="I155" s="138"/>
      <c r="J155" s="138"/>
      <c r="K155" s="138"/>
      <c r="L155" s="138"/>
      <c r="M155" s="138"/>
      <c r="N155" s="138"/>
      <c r="O155" s="25"/>
    </row>
    <row r="156">
      <c r="A156" s="138"/>
      <c r="B156" s="25"/>
      <c r="C156" s="25"/>
      <c r="D156" s="138"/>
      <c r="E156" s="138"/>
      <c r="F156" s="138"/>
      <c r="G156" s="138"/>
      <c r="H156" s="138"/>
      <c r="I156" s="138"/>
      <c r="J156" s="138"/>
      <c r="K156" s="138"/>
      <c r="L156" s="138"/>
      <c r="M156" s="138"/>
      <c r="N156" s="138"/>
      <c r="O156" s="25"/>
    </row>
    <row r="157">
      <c r="A157" s="138"/>
      <c r="B157" s="25"/>
      <c r="C157" s="25"/>
      <c r="D157" s="138"/>
      <c r="E157" s="138"/>
      <c r="F157" s="138"/>
      <c r="G157" s="138"/>
      <c r="H157" s="138"/>
      <c r="I157" s="138"/>
      <c r="J157" s="138"/>
      <c r="K157" s="138"/>
      <c r="L157" s="138"/>
      <c r="M157" s="138"/>
      <c r="N157" s="138"/>
      <c r="O157" s="25"/>
    </row>
    <row r="158">
      <c r="A158" s="138"/>
      <c r="B158" s="25"/>
      <c r="C158" s="25"/>
      <c r="D158" s="138"/>
      <c r="E158" s="138"/>
      <c r="F158" s="138"/>
      <c r="G158" s="138"/>
      <c r="H158" s="138"/>
      <c r="I158" s="138"/>
      <c r="J158" s="138"/>
      <c r="K158" s="138"/>
      <c r="L158" s="138"/>
      <c r="M158" s="138"/>
      <c r="N158" s="138"/>
      <c r="O158" s="25"/>
    </row>
    <row r="159">
      <c r="A159" s="138"/>
      <c r="B159" s="25"/>
      <c r="C159" s="25"/>
      <c r="D159" s="138"/>
      <c r="E159" s="138"/>
      <c r="F159" s="138"/>
      <c r="G159" s="138"/>
      <c r="H159" s="138"/>
      <c r="I159" s="138"/>
      <c r="J159" s="138"/>
      <c r="K159" s="138"/>
      <c r="L159" s="138"/>
      <c r="M159" s="138"/>
      <c r="N159" s="138"/>
      <c r="O159" s="25"/>
    </row>
    <row r="160">
      <c r="A160" s="138"/>
      <c r="B160" s="25"/>
      <c r="C160" s="25"/>
      <c r="D160" s="138"/>
      <c r="E160" s="138"/>
      <c r="F160" s="138"/>
      <c r="G160" s="138"/>
      <c r="H160" s="138"/>
      <c r="I160" s="138"/>
      <c r="J160" s="138"/>
      <c r="K160" s="138"/>
      <c r="L160" s="138"/>
      <c r="M160" s="138"/>
      <c r="N160" s="138"/>
      <c r="O160" s="25"/>
    </row>
    <row r="161">
      <c r="A161" s="138"/>
      <c r="B161" s="25"/>
      <c r="C161" s="25"/>
      <c r="D161" s="138"/>
      <c r="E161" s="138"/>
      <c r="F161" s="138"/>
      <c r="G161" s="138"/>
      <c r="H161" s="138"/>
      <c r="I161" s="138"/>
      <c r="J161" s="138"/>
      <c r="K161" s="138"/>
      <c r="L161" s="138"/>
      <c r="M161" s="138"/>
      <c r="N161" s="138"/>
      <c r="O161" s="25"/>
    </row>
    <row r="162">
      <c r="A162" s="138"/>
      <c r="B162" s="25"/>
      <c r="C162" s="25"/>
      <c r="D162" s="138"/>
      <c r="E162" s="138"/>
      <c r="F162" s="138"/>
      <c r="G162" s="138"/>
      <c r="H162" s="138"/>
      <c r="I162" s="138"/>
      <c r="J162" s="138"/>
      <c r="K162" s="138"/>
      <c r="L162" s="138"/>
      <c r="M162" s="138"/>
      <c r="N162" s="138"/>
      <c r="O162" s="25"/>
    </row>
    <row r="163">
      <c r="A163" s="138"/>
      <c r="B163" s="25"/>
      <c r="C163" s="25"/>
      <c r="D163" s="138"/>
      <c r="E163" s="138"/>
      <c r="F163" s="138"/>
      <c r="G163" s="138"/>
      <c r="H163" s="138"/>
      <c r="I163" s="138"/>
      <c r="J163" s="138"/>
      <c r="K163" s="138"/>
      <c r="L163" s="138"/>
      <c r="M163" s="138"/>
      <c r="N163" s="138"/>
      <c r="O163" s="25"/>
    </row>
    <row r="164">
      <c r="A164" s="138"/>
      <c r="B164" s="25"/>
      <c r="C164" s="25"/>
      <c r="D164" s="138"/>
      <c r="E164" s="138"/>
      <c r="F164" s="138"/>
      <c r="G164" s="138"/>
      <c r="H164" s="138"/>
      <c r="I164" s="138"/>
      <c r="J164" s="138"/>
      <c r="K164" s="138"/>
      <c r="L164" s="138"/>
      <c r="M164" s="138"/>
      <c r="N164" s="138"/>
      <c r="O164" s="25"/>
    </row>
    <row r="165">
      <c r="A165" s="138"/>
      <c r="B165" s="25"/>
      <c r="C165" s="25"/>
      <c r="D165" s="138"/>
      <c r="E165" s="138"/>
      <c r="F165" s="138"/>
      <c r="G165" s="138"/>
      <c r="H165" s="138"/>
      <c r="I165" s="138"/>
      <c r="J165" s="138"/>
      <c r="K165" s="138"/>
      <c r="L165" s="138"/>
      <c r="M165" s="138"/>
      <c r="N165" s="138"/>
      <c r="O165" s="25"/>
    </row>
    <row r="166">
      <c r="A166" s="138"/>
      <c r="B166" s="25"/>
      <c r="C166" s="25"/>
      <c r="D166" s="138"/>
      <c r="E166" s="138"/>
      <c r="F166" s="138"/>
      <c r="G166" s="138"/>
      <c r="H166" s="138"/>
      <c r="I166" s="138"/>
      <c r="J166" s="138"/>
      <c r="K166" s="138"/>
      <c r="L166" s="138"/>
      <c r="M166" s="138"/>
      <c r="N166" s="138"/>
      <c r="O166" s="25"/>
    </row>
    <row r="167">
      <c r="A167" s="138"/>
      <c r="B167" s="25"/>
      <c r="C167" s="25"/>
      <c r="D167" s="138"/>
      <c r="E167" s="138"/>
      <c r="F167" s="138"/>
      <c r="G167" s="138"/>
      <c r="H167" s="138"/>
      <c r="I167" s="138"/>
      <c r="J167" s="138"/>
      <c r="K167" s="138"/>
      <c r="L167" s="138"/>
      <c r="M167" s="138"/>
      <c r="N167" s="138"/>
      <c r="O167" s="25"/>
    </row>
    <row r="168">
      <c r="A168" s="138"/>
      <c r="B168" s="25"/>
      <c r="C168" s="25"/>
      <c r="D168" s="138"/>
      <c r="E168" s="138"/>
      <c r="F168" s="138"/>
      <c r="G168" s="138"/>
      <c r="H168" s="138"/>
      <c r="I168" s="138"/>
      <c r="J168" s="138"/>
      <c r="K168" s="138"/>
      <c r="L168" s="138"/>
      <c r="M168" s="138"/>
      <c r="N168" s="138"/>
      <c r="O168" s="25"/>
    </row>
    <row r="169">
      <c r="A169" s="138"/>
      <c r="B169" s="25"/>
      <c r="C169" s="25"/>
      <c r="D169" s="138"/>
      <c r="E169" s="138"/>
      <c r="F169" s="138"/>
      <c r="G169" s="138"/>
      <c r="H169" s="138"/>
      <c r="I169" s="138"/>
      <c r="J169" s="138"/>
      <c r="K169" s="138"/>
      <c r="L169" s="138"/>
      <c r="M169" s="138"/>
      <c r="N169" s="138"/>
      <c r="O169" s="25"/>
    </row>
    <row r="170">
      <c r="A170" s="138"/>
      <c r="B170" s="25"/>
      <c r="C170" s="25"/>
      <c r="D170" s="138"/>
      <c r="E170" s="138"/>
      <c r="F170" s="138"/>
      <c r="G170" s="138"/>
      <c r="H170" s="138"/>
      <c r="I170" s="138"/>
      <c r="J170" s="138"/>
      <c r="K170" s="138"/>
      <c r="L170" s="138"/>
      <c r="M170" s="138"/>
      <c r="N170" s="138"/>
      <c r="O170" s="25"/>
    </row>
    <row r="171">
      <c r="A171" s="138"/>
      <c r="B171" s="25"/>
      <c r="C171" s="25"/>
      <c r="D171" s="138"/>
      <c r="E171" s="138"/>
      <c r="F171" s="138"/>
      <c r="G171" s="138"/>
      <c r="H171" s="138"/>
      <c r="I171" s="138"/>
      <c r="J171" s="138"/>
      <c r="K171" s="138"/>
      <c r="L171" s="138"/>
      <c r="M171" s="138"/>
      <c r="N171" s="138"/>
      <c r="O171" s="25"/>
    </row>
    <row r="172">
      <c r="A172" s="138"/>
      <c r="B172" s="25"/>
      <c r="C172" s="25"/>
      <c r="D172" s="138"/>
      <c r="E172" s="138"/>
      <c r="F172" s="138"/>
      <c r="G172" s="138"/>
      <c r="H172" s="138"/>
      <c r="I172" s="138"/>
      <c r="J172" s="138"/>
      <c r="K172" s="138"/>
      <c r="L172" s="138"/>
      <c r="M172" s="138"/>
      <c r="N172" s="138"/>
      <c r="O172" s="25"/>
    </row>
    <row r="173">
      <c r="A173" s="138"/>
      <c r="B173" s="25"/>
      <c r="C173" s="25"/>
      <c r="D173" s="138"/>
      <c r="E173" s="138"/>
      <c r="F173" s="138"/>
      <c r="G173" s="138"/>
      <c r="H173" s="138"/>
      <c r="I173" s="138"/>
      <c r="J173" s="138"/>
      <c r="K173" s="138"/>
      <c r="L173" s="138"/>
      <c r="M173" s="138"/>
      <c r="N173" s="138"/>
      <c r="O173" s="25"/>
    </row>
    <row r="174">
      <c r="A174" s="138"/>
      <c r="B174" s="25"/>
      <c r="C174" s="25"/>
      <c r="D174" s="138"/>
      <c r="E174" s="138"/>
      <c r="F174" s="138"/>
      <c r="G174" s="138"/>
      <c r="H174" s="138"/>
      <c r="I174" s="138"/>
      <c r="J174" s="138"/>
      <c r="K174" s="138"/>
      <c r="L174" s="138"/>
      <c r="M174" s="138"/>
      <c r="N174" s="138"/>
      <c r="O174" s="25"/>
    </row>
    <row r="175">
      <c r="A175" s="138"/>
      <c r="B175" s="25"/>
      <c r="C175" s="25"/>
      <c r="D175" s="138"/>
      <c r="E175" s="138"/>
      <c r="F175" s="138"/>
      <c r="G175" s="138"/>
      <c r="H175" s="138"/>
      <c r="I175" s="138"/>
      <c r="J175" s="138"/>
      <c r="K175" s="138"/>
      <c r="L175" s="138"/>
      <c r="M175" s="138"/>
      <c r="N175" s="138"/>
      <c r="O175" s="25"/>
    </row>
    <row r="176">
      <c r="A176" s="138"/>
      <c r="B176" s="25"/>
      <c r="C176" s="25"/>
      <c r="D176" s="138"/>
      <c r="E176" s="138"/>
      <c r="F176" s="138"/>
      <c r="G176" s="138"/>
      <c r="H176" s="138"/>
      <c r="I176" s="138"/>
      <c r="J176" s="138"/>
      <c r="K176" s="138"/>
      <c r="L176" s="138"/>
      <c r="M176" s="138"/>
      <c r="N176" s="138"/>
      <c r="O176" s="25"/>
    </row>
    <row r="177">
      <c r="A177" s="138"/>
      <c r="B177" s="25"/>
      <c r="C177" s="25"/>
      <c r="D177" s="138"/>
      <c r="E177" s="138"/>
      <c r="F177" s="138"/>
      <c r="G177" s="138"/>
      <c r="H177" s="138"/>
      <c r="I177" s="138"/>
      <c r="J177" s="138"/>
      <c r="K177" s="138"/>
      <c r="L177" s="138"/>
      <c r="M177" s="138"/>
      <c r="N177" s="138"/>
      <c r="O177" s="25"/>
    </row>
    <row r="178">
      <c r="A178" s="138"/>
      <c r="B178" s="25"/>
      <c r="C178" s="25"/>
      <c r="D178" s="138"/>
      <c r="E178" s="138"/>
      <c r="F178" s="138"/>
      <c r="G178" s="138"/>
      <c r="H178" s="138"/>
      <c r="I178" s="138"/>
      <c r="J178" s="138"/>
      <c r="K178" s="138"/>
      <c r="L178" s="138"/>
      <c r="M178" s="138"/>
      <c r="N178" s="138"/>
      <c r="O178" s="25"/>
    </row>
    <row r="179">
      <c r="A179" s="138"/>
      <c r="B179" s="25"/>
      <c r="C179" s="25"/>
      <c r="D179" s="138"/>
      <c r="E179" s="138"/>
      <c r="F179" s="138"/>
      <c r="G179" s="138"/>
      <c r="H179" s="138"/>
      <c r="I179" s="138"/>
      <c r="J179" s="138"/>
      <c r="K179" s="138"/>
      <c r="L179" s="138"/>
      <c r="M179" s="138"/>
      <c r="N179" s="138"/>
      <c r="O179" s="25"/>
    </row>
    <row r="180">
      <c r="A180" s="138"/>
      <c r="B180" s="25"/>
      <c r="C180" s="25"/>
      <c r="D180" s="138"/>
      <c r="E180" s="138"/>
      <c r="F180" s="138"/>
      <c r="G180" s="138"/>
      <c r="H180" s="138"/>
      <c r="I180" s="138"/>
      <c r="J180" s="138"/>
      <c r="K180" s="138"/>
      <c r="L180" s="138"/>
      <c r="M180" s="138"/>
      <c r="N180" s="138"/>
      <c r="O180" s="25"/>
    </row>
    <row r="181">
      <c r="A181" s="138"/>
      <c r="B181" s="25"/>
      <c r="C181" s="25"/>
      <c r="D181" s="138"/>
      <c r="E181" s="138"/>
      <c r="F181" s="138"/>
      <c r="G181" s="138"/>
      <c r="H181" s="138"/>
      <c r="I181" s="138"/>
      <c r="J181" s="138"/>
      <c r="K181" s="138"/>
      <c r="L181" s="138"/>
      <c r="M181" s="138"/>
      <c r="N181" s="138"/>
      <c r="O181" s="25"/>
    </row>
    <row r="182">
      <c r="A182" s="138"/>
      <c r="B182" s="25"/>
      <c r="C182" s="25"/>
      <c r="D182" s="138"/>
      <c r="E182" s="138"/>
      <c r="F182" s="138"/>
      <c r="G182" s="138"/>
      <c r="H182" s="138"/>
      <c r="I182" s="138"/>
      <c r="J182" s="138"/>
      <c r="K182" s="138"/>
      <c r="L182" s="138"/>
      <c r="M182" s="138"/>
      <c r="N182" s="138"/>
      <c r="O182" s="25"/>
    </row>
    <row r="183">
      <c r="A183" s="138"/>
      <c r="B183" s="25"/>
      <c r="C183" s="25"/>
      <c r="D183" s="138"/>
      <c r="E183" s="138"/>
      <c r="F183" s="138"/>
      <c r="G183" s="138"/>
      <c r="H183" s="138"/>
      <c r="I183" s="138"/>
      <c r="J183" s="138"/>
      <c r="K183" s="138"/>
      <c r="L183" s="138"/>
      <c r="M183" s="138"/>
      <c r="N183" s="138"/>
      <c r="O183" s="25"/>
    </row>
    <row r="184">
      <c r="A184" s="138"/>
      <c r="B184" s="25"/>
      <c r="C184" s="25"/>
      <c r="D184" s="138"/>
      <c r="E184" s="138"/>
      <c r="F184" s="138"/>
      <c r="G184" s="138"/>
      <c r="H184" s="138"/>
      <c r="I184" s="138"/>
      <c r="J184" s="138"/>
      <c r="K184" s="138"/>
      <c r="L184" s="138"/>
      <c r="M184" s="138"/>
      <c r="N184" s="138"/>
      <c r="O184" s="25"/>
    </row>
    <row r="185">
      <c r="A185" s="138"/>
      <c r="B185" s="25"/>
      <c r="C185" s="25"/>
      <c r="D185" s="138"/>
      <c r="E185" s="138"/>
      <c r="F185" s="138"/>
      <c r="G185" s="138"/>
      <c r="H185" s="138"/>
      <c r="I185" s="138"/>
      <c r="J185" s="138"/>
      <c r="K185" s="138"/>
      <c r="L185" s="138"/>
      <c r="M185" s="138"/>
      <c r="N185" s="138"/>
      <c r="O185" s="25"/>
    </row>
    <row r="186">
      <c r="A186" s="138"/>
      <c r="B186" s="25"/>
      <c r="C186" s="25"/>
      <c r="D186" s="138"/>
      <c r="E186" s="138"/>
      <c r="F186" s="138"/>
      <c r="G186" s="138"/>
      <c r="H186" s="138"/>
      <c r="I186" s="138"/>
      <c r="J186" s="138"/>
      <c r="K186" s="138"/>
      <c r="L186" s="138"/>
      <c r="M186" s="138"/>
      <c r="N186" s="138"/>
      <c r="O186" s="25"/>
    </row>
    <row r="187">
      <c r="A187" s="138"/>
      <c r="B187" s="25"/>
      <c r="C187" s="25"/>
      <c r="D187" s="138"/>
      <c r="E187" s="138"/>
      <c r="F187" s="138"/>
      <c r="G187" s="138"/>
      <c r="H187" s="138"/>
      <c r="I187" s="138"/>
      <c r="J187" s="138"/>
      <c r="K187" s="138"/>
      <c r="L187" s="138"/>
      <c r="M187" s="138"/>
      <c r="N187" s="138"/>
      <c r="O187" s="25"/>
    </row>
    <row r="188">
      <c r="A188" s="138"/>
      <c r="B188" s="25"/>
      <c r="C188" s="25"/>
      <c r="D188" s="138"/>
      <c r="E188" s="138"/>
      <c r="F188" s="138"/>
      <c r="G188" s="138"/>
      <c r="H188" s="138"/>
      <c r="I188" s="138"/>
      <c r="J188" s="138"/>
      <c r="K188" s="138"/>
      <c r="L188" s="138"/>
      <c r="M188" s="138"/>
      <c r="N188" s="138"/>
      <c r="O188" s="25"/>
    </row>
    <row r="189">
      <c r="A189" s="138"/>
      <c r="B189" s="25"/>
      <c r="C189" s="25"/>
      <c r="D189" s="138"/>
      <c r="E189" s="138"/>
      <c r="F189" s="138"/>
      <c r="G189" s="138"/>
      <c r="H189" s="138"/>
      <c r="I189" s="138"/>
      <c r="J189" s="138"/>
      <c r="K189" s="138"/>
      <c r="L189" s="138"/>
      <c r="M189" s="138"/>
      <c r="N189" s="138"/>
      <c r="O189" s="25"/>
    </row>
    <row r="190">
      <c r="A190" s="138"/>
      <c r="B190" s="25"/>
      <c r="C190" s="25"/>
      <c r="D190" s="138"/>
      <c r="E190" s="138"/>
      <c r="F190" s="138"/>
      <c r="G190" s="138"/>
      <c r="H190" s="138"/>
      <c r="I190" s="138"/>
      <c r="J190" s="138"/>
      <c r="K190" s="138"/>
      <c r="L190" s="138"/>
      <c r="M190" s="138"/>
      <c r="N190" s="138"/>
      <c r="O190" s="25"/>
    </row>
    <row r="191">
      <c r="A191" s="138"/>
      <c r="B191" s="25"/>
      <c r="C191" s="25"/>
      <c r="D191" s="138"/>
      <c r="E191" s="138"/>
      <c r="F191" s="138"/>
      <c r="G191" s="138"/>
      <c r="H191" s="138"/>
      <c r="I191" s="138"/>
      <c r="J191" s="138"/>
      <c r="K191" s="138"/>
      <c r="L191" s="138"/>
      <c r="M191" s="138"/>
      <c r="N191" s="138"/>
      <c r="O191" s="25"/>
    </row>
    <row r="192">
      <c r="A192" s="138"/>
      <c r="B192" s="25"/>
      <c r="C192" s="25"/>
      <c r="D192" s="138"/>
      <c r="E192" s="138"/>
      <c r="F192" s="138"/>
      <c r="G192" s="138"/>
      <c r="H192" s="138"/>
      <c r="I192" s="138"/>
      <c r="J192" s="138"/>
      <c r="K192" s="138"/>
      <c r="L192" s="138"/>
      <c r="M192" s="138"/>
      <c r="N192" s="138"/>
      <c r="O192" s="25"/>
    </row>
    <row r="193">
      <c r="A193" s="138"/>
      <c r="B193" s="25"/>
      <c r="C193" s="25"/>
      <c r="D193" s="138"/>
      <c r="E193" s="138"/>
      <c r="F193" s="138"/>
      <c r="G193" s="138"/>
      <c r="H193" s="138"/>
      <c r="I193" s="138"/>
      <c r="J193" s="138"/>
      <c r="K193" s="138"/>
      <c r="L193" s="138"/>
      <c r="M193" s="138"/>
      <c r="N193" s="138"/>
      <c r="O193" s="25"/>
    </row>
    <row r="194">
      <c r="A194" s="138"/>
      <c r="B194" s="25"/>
      <c r="C194" s="25"/>
      <c r="D194" s="138"/>
      <c r="E194" s="138"/>
      <c r="F194" s="138"/>
      <c r="G194" s="138"/>
      <c r="H194" s="138"/>
      <c r="I194" s="138"/>
      <c r="J194" s="138"/>
      <c r="K194" s="138"/>
      <c r="L194" s="138"/>
      <c r="M194" s="138"/>
      <c r="N194" s="138"/>
      <c r="O194" s="25"/>
    </row>
    <row r="195">
      <c r="A195" s="138"/>
      <c r="B195" s="25"/>
      <c r="C195" s="25"/>
      <c r="D195" s="138"/>
      <c r="E195" s="138"/>
      <c r="F195" s="138"/>
      <c r="G195" s="138"/>
      <c r="H195" s="138"/>
      <c r="I195" s="138"/>
      <c r="J195" s="138"/>
      <c r="K195" s="138"/>
      <c r="L195" s="138"/>
      <c r="M195" s="138"/>
      <c r="N195" s="138"/>
      <c r="O195" s="25"/>
    </row>
    <row r="196">
      <c r="A196" s="138"/>
      <c r="B196" s="25"/>
      <c r="C196" s="25"/>
      <c r="D196" s="138"/>
      <c r="E196" s="138"/>
      <c r="F196" s="138"/>
      <c r="G196" s="138"/>
      <c r="H196" s="138"/>
      <c r="I196" s="138"/>
      <c r="J196" s="138"/>
      <c r="K196" s="138"/>
      <c r="L196" s="138"/>
      <c r="M196" s="138"/>
      <c r="N196" s="138"/>
      <c r="O196" s="25"/>
    </row>
    <row r="197">
      <c r="A197" s="138"/>
      <c r="B197" s="25"/>
      <c r="C197" s="25"/>
      <c r="D197" s="138"/>
      <c r="E197" s="138"/>
      <c r="F197" s="138"/>
      <c r="G197" s="138"/>
      <c r="H197" s="138"/>
      <c r="I197" s="138"/>
      <c r="J197" s="138"/>
      <c r="K197" s="138"/>
      <c r="L197" s="138"/>
      <c r="M197" s="138"/>
      <c r="N197" s="138"/>
      <c r="O197" s="25"/>
    </row>
    <row r="198">
      <c r="A198" s="138"/>
      <c r="B198" s="25"/>
      <c r="C198" s="25"/>
      <c r="D198" s="138"/>
      <c r="E198" s="138"/>
      <c r="F198" s="138"/>
      <c r="G198" s="138"/>
      <c r="H198" s="138"/>
      <c r="I198" s="138"/>
      <c r="J198" s="138"/>
      <c r="K198" s="138"/>
      <c r="L198" s="138"/>
      <c r="M198" s="138"/>
      <c r="N198" s="138"/>
      <c r="O198" s="25"/>
    </row>
    <row r="199">
      <c r="A199" s="138"/>
      <c r="B199" s="25"/>
      <c r="C199" s="25"/>
      <c r="D199" s="138"/>
      <c r="E199" s="138"/>
      <c r="F199" s="138"/>
      <c r="G199" s="138"/>
      <c r="H199" s="138"/>
      <c r="I199" s="138"/>
      <c r="J199" s="138"/>
      <c r="K199" s="138"/>
      <c r="L199" s="138"/>
      <c r="M199" s="138"/>
      <c r="N199" s="138"/>
      <c r="O199" s="25"/>
    </row>
    <row r="200">
      <c r="A200" s="138"/>
      <c r="B200" s="25"/>
      <c r="C200" s="25"/>
      <c r="D200" s="138"/>
      <c r="E200" s="138"/>
      <c r="F200" s="138"/>
      <c r="G200" s="138"/>
      <c r="H200" s="138"/>
      <c r="I200" s="138"/>
      <c r="J200" s="138"/>
      <c r="K200" s="138"/>
      <c r="L200" s="138"/>
      <c r="M200" s="138"/>
      <c r="N200" s="138"/>
      <c r="O200" s="25"/>
    </row>
    <row r="201">
      <c r="A201" s="138"/>
      <c r="B201" s="25"/>
      <c r="C201" s="25"/>
      <c r="D201" s="138"/>
      <c r="E201" s="138"/>
      <c r="F201" s="138"/>
      <c r="G201" s="138"/>
      <c r="H201" s="138"/>
      <c r="I201" s="138"/>
      <c r="J201" s="138"/>
      <c r="K201" s="138"/>
      <c r="L201" s="138"/>
      <c r="M201" s="138"/>
      <c r="N201" s="138"/>
      <c r="O201" s="25"/>
    </row>
    <row r="202">
      <c r="A202" s="138"/>
      <c r="B202" s="25"/>
      <c r="C202" s="25"/>
      <c r="D202" s="138"/>
      <c r="E202" s="138"/>
      <c r="F202" s="138"/>
      <c r="G202" s="138"/>
      <c r="H202" s="138"/>
      <c r="I202" s="138"/>
      <c r="J202" s="138"/>
      <c r="K202" s="138"/>
      <c r="L202" s="138"/>
      <c r="M202" s="138"/>
      <c r="N202" s="138"/>
      <c r="O202" s="25"/>
    </row>
    <row r="203">
      <c r="A203" s="138"/>
      <c r="B203" s="25"/>
      <c r="C203" s="25"/>
      <c r="D203" s="138"/>
      <c r="E203" s="138"/>
      <c r="F203" s="138"/>
      <c r="G203" s="138"/>
      <c r="H203" s="138"/>
      <c r="I203" s="138"/>
      <c r="J203" s="138"/>
      <c r="K203" s="138"/>
      <c r="L203" s="138"/>
      <c r="M203" s="138"/>
      <c r="N203" s="138"/>
      <c r="O203" s="25"/>
    </row>
    <row r="204">
      <c r="A204" s="138"/>
      <c r="B204" s="25"/>
      <c r="C204" s="25"/>
      <c r="D204" s="138"/>
      <c r="E204" s="138"/>
      <c r="F204" s="138"/>
      <c r="G204" s="138"/>
      <c r="H204" s="138"/>
      <c r="I204" s="138"/>
      <c r="J204" s="138"/>
      <c r="K204" s="138"/>
      <c r="L204" s="138"/>
      <c r="M204" s="138"/>
      <c r="N204" s="138"/>
      <c r="O204" s="25"/>
    </row>
    <row r="205">
      <c r="A205" s="138"/>
      <c r="B205" s="25"/>
      <c r="C205" s="25"/>
      <c r="D205" s="138"/>
      <c r="E205" s="138"/>
      <c r="F205" s="138"/>
      <c r="G205" s="138"/>
      <c r="H205" s="138"/>
      <c r="I205" s="138"/>
      <c r="J205" s="138"/>
      <c r="K205" s="138"/>
      <c r="L205" s="138"/>
      <c r="M205" s="138"/>
      <c r="N205" s="138"/>
      <c r="O205" s="25"/>
    </row>
    <row r="206">
      <c r="A206" s="138"/>
      <c r="B206" s="25"/>
      <c r="C206" s="25"/>
      <c r="D206" s="138"/>
      <c r="E206" s="138"/>
      <c r="F206" s="138"/>
      <c r="G206" s="138"/>
      <c r="H206" s="138"/>
      <c r="I206" s="138"/>
      <c r="J206" s="138"/>
      <c r="K206" s="138"/>
      <c r="L206" s="138"/>
      <c r="M206" s="138"/>
      <c r="N206" s="138"/>
      <c r="O206" s="25"/>
    </row>
    <row r="207">
      <c r="A207" s="138"/>
      <c r="B207" s="25"/>
      <c r="C207" s="25"/>
      <c r="D207" s="138"/>
      <c r="E207" s="138"/>
      <c r="F207" s="138"/>
      <c r="G207" s="138"/>
      <c r="H207" s="138"/>
      <c r="I207" s="138"/>
      <c r="J207" s="138"/>
      <c r="K207" s="138"/>
      <c r="L207" s="138"/>
      <c r="M207" s="138"/>
      <c r="N207" s="138"/>
      <c r="O207" s="25"/>
    </row>
    <row r="208">
      <c r="A208" s="138"/>
      <c r="B208" s="25"/>
      <c r="C208" s="25"/>
      <c r="D208" s="138"/>
      <c r="E208" s="138"/>
      <c r="F208" s="138"/>
      <c r="G208" s="138"/>
      <c r="H208" s="138"/>
      <c r="I208" s="138"/>
      <c r="J208" s="138"/>
      <c r="K208" s="138"/>
      <c r="L208" s="138"/>
      <c r="M208" s="138"/>
      <c r="N208" s="138"/>
      <c r="O208" s="25"/>
    </row>
    <row r="209">
      <c r="A209" s="138"/>
      <c r="B209" s="25"/>
      <c r="C209" s="25"/>
      <c r="D209" s="138"/>
      <c r="E209" s="138"/>
      <c r="F209" s="138"/>
      <c r="G209" s="138"/>
      <c r="H209" s="138"/>
      <c r="I209" s="138"/>
      <c r="J209" s="138"/>
      <c r="K209" s="138"/>
      <c r="L209" s="138"/>
      <c r="M209" s="138"/>
      <c r="N209" s="138"/>
      <c r="O209" s="25"/>
    </row>
    <row r="210">
      <c r="A210" s="138"/>
      <c r="B210" s="25"/>
      <c r="C210" s="25"/>
      <c r="D210" s="138"/>
      <c r="E210" s="138"/>
      <c r="F210" s="138"/>
      <c r="G210" s="138"/>
      <c r="H210" s="138"/>
      <c r="I210" s="138"/>
      <c r="J210" s="138"/>
      <c r="K210" s="138"/>
      <c r="L210" s="138"/>
      <c r="M210" s="138"/>
      <c r="N210" s="138"/>
      <c r="O210" s="25"/>
    </row>
    <row r="211">
      <c r="A211" s="138"/>
      <c r="B211" s="25"/>
      <c r="C211" s="25"/>
      <c r="D211" s="138"/>
      <c r="E211" s="138"/>
      <c r="F211" s="138"/>
      <c r="G211" s="138"/>
      <c r="H211" s="138"/>
      <c r="I211" s="138"/>
      <c r="J211" s="138"/>
      <c r="K211" s="138"/>
      <c r="L211" s="138"/>
      <c r="M211" s="138"/>
      <c r="N211" s="138"/>
      <c r="O211" s="25"/>
    </row>
    <row r="212">
      <c r="A212" s="138"/>
      <c r="B212" s="25"/>
      <c r="C212" s="25"/>
      <c r="D212" s="138"/>
      <c r="E212" s="138"/>
      <c r="F212" s="138"/>
      <c r="G212" s="138"/>
      <c r="H212" s="138"/>
      <c r="I212" s="138"/>
      <c r="J212" s="138"/>
      <c r="K212" s="138"/>
      <c r="L212" s="138"/>
      <c r="M212" s="138"/>
      <c r="N212" s="138"/>
      <c r="O212" s="25"/>
    </row>
    <row r="213">
      <c r="A213" s="138"/>
      <c r="B213" s="25"/>
      <c r="C213" s="25"/>
      <c r="D213" s="138"/>
      <c r="E213" s="138"/>
      <c r="F213" s="138"/>
      <c r="G213" s="138"/>
      <c r="H213" s="138"/>
      <c r="I213" s="138"/>
      <c r="J213" s="138"/>
      <c r="K213" s="138"/>
      <c r="L213" s="138"/>
      <c r="M213" s="138"/>
      <c r="N213" s="138"/>
      <c r="O213" s="25"/>
    </row>
    <row r="214">
      <c r="A214" s="138"/>
      <c r="B214" s="25"/>
      <c r="C214" s="25"/>
      <c r="D214" s="138"/>
      <c r="E214" s="138"/>
      <c r="F214" s="138"/>
      <c r="G214" s="138"/>
      <c r="H214" s="138"/>
      <c r="I214" s="138"/>
      <c r="J214" s="138"/>
      <c r="K214" s="138"/>
      <c r="L214" s="138"/>
      <c r="M214" s="138"/>
      <c r="N214" s="138"/>
      <c r="O214" s="25"/>
    </row>
    <row r="215">
      <c r="A215" s="138"/>
      <c r="B215" s="25"/>
      <c r="C215" s="25"/>
      <c r="D215" s="138"/>
      <c r="E215" s="138"/>
      <c r="F215" s="138"/>
      <c r="G215" s="138"/>
      <c r="H215" s="138"/>
      <c r="I215" s="138"/>
      <c r="J215" s="138"/>
      <c r="K215" s="138"/>
      <c r="L215" s="138"/>
      <c r="M215" s="138"/>
      <c r="N215" s="138"/>
      <c r="O215" s="25"/>
    </row>
    <row r="216">
      <c r="A216" s="138"/>
      <c r="B216" s="25"/>
      <c r="C216" s="25"/>
      <c r="D216" s="138"/>
      <c r="E216" s="138"/>
      <c r="F216" s="138"/>
      <c r="G216" s="138"/>
      <c r="H216" s="138"/>
      <c r="I216" s="138"/>
      <c r="J216" s="138"/>
      <c r="K216" s="138"/>
      <c r="L216" s="138"/>
      <c r="M216" s="138"/>
      <c r="N216" s="138"/>
      <c r="O216" s="25"/>
    </row>
    <row r="217">
      <c r="A217" s="138"/>
      <c r="B217" s="25"/>
      <c r="C217" s="25"/>
      <c r="D217" s="138"/>
      <c r="E217" s="138"/>
      <c r="F217" s="138"/>
      <c r="G217" s="138"/>
      <c r="H217" s="138"/>
      <c r="I217" s="138"/>
      <c r="J217" s="138"/>
      <c r="K217" s="138"/>
      <c r="L217" s="138"/>
      <c r="M217" s="138"/>
      <c r="N217" s="138"/>
      <c r="O217" s="25"/>
    </row>
    <row r="218">
      <c r="A218" s="138"/>
      <c r="B218" s="25"/>
      <c r="C218" s="25"/>
      <c r="D218" s="138"/>
      <c r="E218" s="138"/>
      <c r="F218" s="138"/>
      <c r="G218" s="138"/>
      <c r="H218" s="138"/>
      <c r="I218" s="138"/>
      <c r="J218" s="138"/>
      <c r="K218" s="138"/>
      <c r="L218" s="138"/>
      <c r="M218" s="138"/>
      <c r="N218" s="138"/>
      <c r="O218" s="25"/>
    </row>
    <row r="219">
      <c r="A219" s="138"/>
      <c r="B219" s="25"/>
      <c r="C219" s="25"/>
      <c r="D219" s="138"/>
      <c r="E219" s="138"/>
      <c r="F219" s="138"/>
      <c r="G219" s="138"/>
      <c r="H219" s="138"/>
      <c r="I219" s="138"/>
      <c r="J219" s="138"/>
      <c r="K219" s="138"/>
      <c r="L219" s="138"/>
      <c r="M219" s="138"/>
      <c r="N219" s="138"/>
      <c r="O219" s="25"/>
    </row>
    <row r="220">
      <c r="A220" s="138"/>
      <c r="B220" s="25"/>
      <c r="C220" s="25"/>
      <c r="D220" s="138"/>
      <c r="E220" s="138"/>
      <c r="F220" s="138"/>
      <c r="G220" s="138"/>
      <c r="H220" s="138"/>
      <c r="I220" s="138"/>
      <c r="J220" s="138"/>
      <c r="K220" s="138"/>
      <c r="L220" s="138"/>
      <c r="M220" s="138"/>
      <c r="N220" s="138"/>
      <c r="O220" s="25"/>
    </row>
    <row r="221">
      <c r="A221" s="138"/>
      <c r="B221" s="25"/>
      <c r="C221" s="25"/>
      <c r="D221" s="138"/>
      <c r="E221" s="138"/>
      <c r="F221" s="138"/>
      <c r="G221" s="138"/>
      <c r="H221" s="138"/>
      <c r="I221" s="138"/>
      <c r="J221" s="138"/>
      <c r="K221" s="138"/>
      <c r="L221" s="138"/>
      <c r="M221" s="138"/>
      <c r="N221" s="138"/>
      <c r="O221" s="25"/>
    </row>
    <row r="222">
      <c r="A222" s="138"/>
      <c r="B222" s="25"/>
      <c r="C222" s="25"/>
      <c r="D222" s="138"/>
      <c r="E222" s="138"/>
      <c r="F222" s="138"/>
      <c r="G222" s="138"/>
      <c r="H222" s="138"/>
      <c r="I222" s="138"/>
      <c r="J222" s="138"/>
      <c r="K222" s="138"/>
      <c r="L222" s="138"/>
      <c r="M222" s="138"/>
      <c r="N222" s="138"/>
      <c r="O222" s="25"/>
    </row>
    <row r="223">
      <c r="A223" s="138"/>
      <c r="B223" s="25"/>
      <c r="C223" s="25"/>
      <c r="D223" s="138"/>
      <c r="E223" s="138"/>
      <c r="F223" s="138"/>
      <c r="G223" s="138"/>
      <c r="H223" s="138"/>
      <c r="I223" s="138"/>
      <c r="J223" s="138"/>
      <c r="K223" s="138"/>
      <c r="L223" s="138"/>
      <c r="M223" s="138"/>
      <c r="N223" s="138"/>
      <c r="O223" s="25"/>
    </row>
    <row r="224">
      <c r="A224" s="138"/>
      <c r="B224" s="25"/>
      <c r="C224" s="25"/>
      <c r="D224" s="138"/>
      <c r="E224" s="138"/>
      <c r="F224" s="138"/>
      <c r="G224" s="138"/>
      <c r="H224" s="138"/>
      <c r="I224" s="138"/>
      <c r="J224" s="138"/>
      <c r="K224" s="138"/>
      <c r="L224" s="138"/>
      <c r="M224" s="138"/>
      <c r="N224" s="138"/>
      <c r="O224" s="25"/>
    </row>
    <row r="225">
      <c r="A225" s="138"/>
      <c r="B225" s="25"/>
      <c r="C225" s="25"/>
      <c r="D225" s="138"/>
      <c r="E225" s="138"/>
      <c r="F225" s="138"/>
      <c r="G225" s="138"/>
      <c r="H225" s="138"/>
      <c r="I225" s="138"/>
      <c r="J225" s="138"/>
      <c r="K225" s="138"/>
      <c r="L225" s="138"/>
      <c r="M225" s="138"/>
      <c r="N225" s="138"/>
      <c r="O225" s="25"/>
    </row>
    <row r="226">
      <c r="A226" s="138"/>
      <c r="B226" s="25"/>
      <c r="C226" s="25"/>
      <c r="D226" s="138"/>
      <c r="E226" s="138"/>
      <c r="F226" s="138"/>
      <c r="G226" s="138"/>
      <c r="H226" s="138"/>
      <c r="I226" s="138"/>
      <c r="J226" s="138"/>
      <c r="K226" s="138"/>
      <c r="L226" s="138"/>
      <c r="M226" s="138"/>
      <c r="N226" s="138"/>
      <c r="O226" s="25"/>
    </row>
    <row r="227">
      <c r="A227" s="138"/>
      <c r="B227" s="25"/>
      <c r="C227" s="25"/>
      <c r="D227" s="138"/>
      <c r="E227" s="138"/>
      <c r="F227" s="138"/>
      <c r="G227" s="138"/>
      <c r="H227" s="138"/>
      <c r="I227" s="138"/>
      <c r="J227" s="138"/>
      <c r="K227" s="138"/>
      <c r="L227" s="138"/>
      <c r="M227" s="138"/>
      <c r="N227" s="138"/>
      <c r="O227" s="25"/>
    </row>
    <row r="228">
      <c r="A228" s="138"/>
      <c r="B228" s="25"/>
      <c r="C228" s="25"/>
      <c r="D228" s="138"/>
      <c r="E228" s="138"/>
      <c r="F228" s="138"/>
      <c r="G228" s="138"/>
      <c r="H228" s="138"/>
      <c r="I228" s="138"/>
      <c r="J228" s="138"/>
      <c r="K228" s="138"/>
      <c r="L228" s="138"/>
      <c r="M228" s="138"/>
      <c r="N228" s="138"/>
      <c r="O228" s="25"/>
    </row>
    <row r="229">
      <c r="A229" s="138"/>
      <c r="B229" s="25"/>
      <c r="C229" s="25"/>
      <c r="D229" s="138"/>
      <c r="E229" s="138"/>
      <c r="F229" s="138"/>
      <c r="G229" s="138"/>
      <c r="H229" s="138"/>
      <c r="I229" s="138"/>
      <c r="J229" s="138"/>
      <c r="K229" s="138"/>
      <c r="L229" s="138"/>
      <c r="M229" s="138"/>
      <c r="N229" s="138"/>
      <c r="O229" s="25"/>
    </row>
    <row r="230">
      <c r="A230" s="138"/>
      <c r="B230" s="25"/>
      <c r="C230" s="25"/>
      <c r="D230" s="138"/>
      <c r="E230" s="138"/>
      <c r="F230" s="138"/>
      <c r="G230" s="138"/>
      <c r="H230" s="138"/>
      <c r="I230" s="138"/>
      <c r="J230" s="138"/>
      <c r="K230" s="138"/>
      <c r="L230" s="138"/>
      <c r="M230" s="138"/>
      <c r="N230" s="138"/>
      <c r="O230" s="25"/>
    </row>
    <row r="231">
      <c r="A231" s="138"/>
      <c r="B231" s="25"/>
      <c r="C231" s="25"/>
      <c r="D231" s="138"/>
      <c r="E231" s="138"/>
      <c r="F231" s="138"/>
      <c r="G231" s="138"/>
      <c r="H231" s="138"/>
      <c r="I231" s="138"/>
      <c r="J231" s="138"/>
      <c r="K231" s="138"/>
      <c r="L231" s="138"/>
      <c r="M231" s="138"/>
      <c r="N231" s="138"/>
      <c r="O231" s="25"/>
    </row>
    <row r="232">
      <c r="A232" s="138"/>
      <c r="B232" s="25"/>
      <c r="C232" s="25"/>
      <c r="D232" s="138"/>
      <c r="E232" s="138"/>
      <c r="F232" s="138"/>
      <c r="G232" s="138"/>
      <c r="H232" s="138"/>
      <c r="I232" s="138"/>
      <c r="J232" s="138"/>
      <c r="K232" s="138"/>
      <c r="L232" s="138"/>
      <c r="M232" s="138"/>
      <c r="N232" s="138"/>
      <c r="O232" s="25"/>
    </row>
    <row r="233">
      <c r="A233" s="138"/>
      <c r="B233" s="25"/>
      <c r="C233" s="25"/>
      <c r="D233" s="138"/>
      <c r="E233" s="138"/>
      <c r="F233" s="138"/>
      <c r="G233" s="138"/>
      <c r="H233" s="138"/>
      <c r="I233" s="138"/>
      <c r="J233" s="138"/>
      <c r="K233" s="138"/>
      <c r="L233" s="138"/>
      <c r="M233" s="138"/>
      <c r="N233" s="138"/>
      <c r="O233" s="25"/>
    </row>
    <row r="234">
      <c r="A234" s="138"/>
      <c r="B234" s="25"/>
      <c r="C234" s="25"/>
      <c r="D234" s="138"/>
      <c r="E234" s="138"/>
      <c r="F234" s="138"/>
      <c r="G234" s="138"/>
      <c r="H234" s="138"/>
      <c r="I234" s="138"/>
      <c r="J234" s="138"/>
      <c r="K234" s="138"/>
      <c r="L234" s="138"/>
      <c r="M234" s="138"/>
      <c r="N234" s="138"/>
      <c r="O234" s="25"/>
    </row>
    <row r="235">
      <c r="A235" s="138"/>
      <c r="B235" s="25"/>
      <c r="C235" s="25"/>
      <c r="D235" s="138"/>
      <c r="E235" s="138"/>
      <c r="F235" s="138"/>
      <c r="G235" s="138"/>
      <c r="H235" s="138"/>
      <c r="I235" s="138"/>
      <c r="J235" s="138"/>
      <c r="K235" s="138"/>
      <c r="L235" s="138"/>
      <c r="M235" s="138"/>
      <c r="N235" s="138"/>
      <c r="O235" s="25"/>
    </row>
    <row r="236">
      <c r="A236" s="138"/>
      <c r="B236" s="25"/>
      <c r="C236" s="25"/>
      <c r="D236" s="138"/>
      <c r="E236" s="138"/>
      <c r="F236" s="138"/>
      <c r="G236" s="138"/>
      <c r="H236" s="138"/>
      <c r="I236" s="138"/>
      <c r="J236" s="138"/>
      <c r="K236" s="138"/>
      <c r="L236" s="138"/>
      <c r="M236" s="138"/>
      <c r="N236" s="138"/>
      <c r="O236" s="25"/>
    </row>
    <row r="237">
      <c r="A237" s="138"/>
      <c r="B237" s="25"/>
      <c r="C237" s="25"/>
      <c r="D237" s="138"/>
      <c r="E237" s="138"/>
      <c r="F237" s="138"/>
      <c r="G237" s="138"/>
      <c r="H237" s="138"/>
      <c r="I237" s="138"/>
      <c r="J237" s="138"/>
      <c r="K237" s="138"/>
      <c r="L237" s="138"/>
      <c r="M237" s="138"/>
      <c r="N237" s="138"/>
      <c r="O237" s="25"/>
    </row>
    <row r="238">
      <c r="A238" s="138"/>
      <c r="B238" s="25"/>
      <c r="C238" s="25"/>
      <c r="D238" s="138"/>
      <c r="E238" s="138"/>
      <c r="F238" s="138"/>
      <c r="G238" s="138"/>
      <c r="H238" s="138"/>
      <c r="I238" s="138"/>
      <c r="J238" s="138"/>
      <c r="K238" s="138"/>
      <c r="L238" s="138"/>
      <c r="M238" s="138"/>
      <c r="N238" s="138"/>
      <c r="O238" s="25"/>
    </row>
    <row r="239">
      <c r="A239" s="138"/>
      <c r="B239" s="25"/>
      <c r="C239" s="25"/>
      <c r="D239" s="138"/>
      <c r="E239" s="138"/>
      <c r="F239" s="138"/>
      <c r="G239" s="138"/>
      <c r="H239" s="138"/>
      <c r="I239" s="138"/>
      <c r="J239" s="138"/>
      <c r="K239" s="138"/>
      <c r="L239" s="138"/>
      <c r="M239" s="138"/>
      <c r="N239" s="138"/>
      <c r="O239" s="25"/>
    </row>
    <row r="240">
      <c r="A240" s="138"/>
      <c r="B240" s="25"/>
      <c r="C240" s="25"/>
      <c r="D240" s="138"/>
      <c r="E240" s="138"/>
      <c r="F240" s="138"/>
      <c r="G240" s="138"/>
      <c r="H240" s="138"/>
      <c r="I240" s="138"/>
      <c r="J240" s="138"/>
      <c r="K240" s="138"/>
      <c r="L240" s="138"/>
      <c r="M240" s="138"/>
      <c r="N240" s="138"/>
      <c r="O240" s="25"/>
    </row>
    <row r="241">
      <c r="A241" s="138"/>
      <c r="B241" s="25"/>
      <c r="C241" s="25"/>
      <c r="D241" s="138"/>
      <c r="E241" s="138"/>
      <c r="F241" s="138"/>
      <c r="G241" s="138"/>
      <c r="H241" s="138"/>
      <c r="I241" s="138"/>
      <c r="J241" s="138"/>
      <c r="K241" s="138"/>
      <c r="L241" s="138"/>
      <c r="M241" s="138"/>
      <c r="N241" s="138"/>
      <c r="O241" s="25"/>
    </row>
    <row r="242">
      <c r="A242" s="138"/>
      <c r="B242" s="25"/>
      <c r="C242" s="25"/>
      <c r="D242" s="138"/>
      <c r="E242" s="138"/>
      <c r="F242" s="138"/>
      <c r="G242" s="138"/>
      <c r="H242" s="138"/>
      <c r="I242" s="138"/>
      <c r="J242" s="138"/>
      <c r="K242" s="138"/>
      <c r="L242" s="138"/>
      <c r="M242" s="138"/>
      <c r="N242" s="138"/>
      <c r="O242" s="25"/>
    </row>
    <row r="243">
      <c r="A243" s="138"/>
      <c r="B243" s="25"/>
      <c r="C243" s="25"/>
      <c r="D243" s="138"/>
      <c r="E243" s="138"/>
      <c r="F243" s="138"/>
      <c r="G243" s="138"/>
      <c r="H243" s="138"/>
      <c r="I243" s="138"/>
      <c r="J243" s="138"/>
      <c r="K243" s="138"/>
      <c r="L243" s="138"/>
      <c r="M243" s="138"/>
      <c r="N243" s="138"/>
      <c r="O243" s="25"/>
    </row>
    <row r="244">
      <c r="A244" s="138"/>
      <c r="B244" s="25"/>
      <c r="C244" s="25"/>
      <c r="D244" s="138"/>
      <c r="E244" s="138"/>
      <c r="F244" s="138"/>
      <c r="G244" s="138"/>
      <c r="H244" s="138"/>
      <c r="I244" s="138"/>
      <c r="J244" s="138"/>
      <c r="K244" s="138"/>
      <c r="L244" s="138"/>
      <c r="M244" s="138"/>
      <c r="N244" s="138"/>
      <c r="O244" s="25"/>
    </row>
    <row r="245">
      <c r="A245" s="138"/>
      <c r="B245" s="25"/>
      <c r="C245" s="25"/>
      <c r="D245" s="138"/>
      <c r="E245" s="138"/>
      <c r="F245" s="138"/>
      <c r="G245" s="138"/>
      <c r="H245" s="138"/>
      <c r="I245" s="138"/>
      <c r="J245" s="138"/>
      <c r="K245" s="138"/>
      <c r="L245" s="138"/>
      <c r="M245" s="138"/>
      <c r="N245" s="138"/>
      <c r="O245" s="25"/>
    </row>
    <row r="246">
      <c r="A246" s="138"/>
      <c r="B246" s="25"/>
      <c r="C246" s="25"/>
      <c r="D246" s="138"/>
      <c r="E246" s="138"/>
      <c r="F246" s="138"/>
      <c r="G246" s="138"/>
      <c r="H246" s="138"/>
      <c r="I246" s="138"/>
      <c r="J246" s="138"/>
      <c r="K246" s="138"/>
      <c r="L246" s="138"/>
      <c r="M246" s="138"/>
      <c r="N246" s="138"/>
      <c r="O246" s="25"/>
    </row>
    <row r="247">
      <c r="A247" s="138"/>
      <c r="B247" s="25"/>
      <c r="C247" s="25"/>
      <c r="D247" s="138"/>
      <c r="E247" s="138"/>
      <c r="F247" s="138"/>
      <c r="G247" s="138"/>
      <c r="H247" s="138"/>
      <c r="I247" s="138"/>
      <c r="J247" s="138"/>
      <c r="K247" s="138"/>
      <c r="L247" s="138"/>
      <c r="M247" s="138"/>
      <c r="N247" s="138"/>
      <c r="O247" s="25"/>
    </row>
    <row r="248">
      <c r="A248" s="138"/>
      <c r="B248" s="25"/>
      <c r="C248" s="25"/>
      <c r="D248" s="138"/>
      <c r="E248" s="138"/>
      <c r="F248" s="138"/>
      <c r="G248" s="138"/>
      <c r="H248" s="138"/>
      <c r="I248" s="138"/>
      <c r="J248" s="138"/>
      <c r="K248" s="138"/>
      <c r="L248" s="138"/>
      <c r="M248" s="138"/>
      <c r="N248" s="138"/>
      <c r="O248" s="25"/>
    </row>
    <row r="249">
      <c r="A249" s="138"/>
      <c r="B249" s="25"/>
      <c r="C249" s="25"/>
      <c r="D249" s="138"/>
      <c r="E249" s="138"/>
      <c r="F249" s="138"/>
      <c r="G249" s="138"/>
      <c r="H249" s="138"/>
      <c r="I249" s="138"/>
      <c r="J249" s="138"/>
      <c r="K249" s="138"/>
      <c r="L249" s="138"/>
      <c r="M249" s="138"/>
      <c r="N249" s="138"/>
      <c r="O249" s="25"/>
    </row>
    <row r="250">
      <c r="A250" s="138"/>
      <c r="B250" s="25"/>
      <c r="C250" s="25"/>
      <c r="D250" s="138"/>
      <c r="E250" s="138"/>
      <c r="F250" s="138"/>
      <c r="G250" s="138"/>
      <c r="H250" s="138"/>
      <c r="I250" s="138"/>
      <c r="J250" s="138"/>
      <c r="K250" s="138"/>
      <c r="L250" s="138"/>
      <c r="M250" s="138"/>
      <c r="N250" s="138"/>
      <c r="O250" s="25"/>
    </row>
    <row r="251">
      <c r="A251" s="138"/>
      <c r="B251" s="25"/>
      <c r="C251" s="25"/>
      <c r="D251" s="138"/>
      <c r="E251" s="138"/>
      <c r="F251" s="138"/>
      <c r="G251" s="138"/>
      <c r="H251" s="138"/>
      <c r="I251" s="138"/>
      <c r="J251" s="138"/>
      <c r="K251" s="138"/>
      <c r="L251" s="138"/>
      <c r="M251" s="138"/>
      <c r="N251" s="138"/>
      <c r="O251" s="25"/>
    </row>
    <row r="252">
      <c r="A252" s="138"/>
      <c r="B252" s="25"/>
      <c r="C252" s="25"/>
      <c r="D252" s="138"/>
      <c r="E252" s="138"/>
      <c r="F252" s="138"/>
      <c r="G252" s="138"/>
      <c r="H252" s="138"/>
      <c r="I252" s="138"/>
      <c r="J252" s="138"/>
      <c r="K252" s="138"/>
      <c r="L252" s="138"/>
      <c r="M252" s="138"/>
      <c r="N252" s="138"/>
      <c r="O252" s="25"/>
    </row>
    <row r="253">
      <c r="A253" s="138"/>
      <c r="B253" s="25"/>
      <c r="C253" s="25"/>
      <c r="D253" s="138"/>
      <c r="E253" s="138"/>
      <c r="F253" s="138"/>
      <c r="G253" s="138"/>
      <c r="H253" s="138"/>
      <c r="I253" s="138"/>
      <c r="J253" s="138"/>
      <c r="K253" s="138"/>
      <c r="L253" s="138"/>
      <c r="M253" s="138"/>
      <c r="N253" s="138"/>
      <c r="O253" s="25"/>
    </row>
    <row r="254">
      <c r="A254" s="138"/>
      <c r="B254" s="25"/>
      <c r="C254" s="25"/>
      <c r="D254" s="138"/>
      <c r="E254" s="138"/>
      <c r="F254" s="138"/>
      <c r="G254" s="138"/>
      <c r="H254" s="138"/>
      <c r="I254" s="138"/>
      <c r="J254" s="138"/>
      <c r="K254" s="138"/>
      <c r="L254" s="138"/>
      <c r="M254" s="138"/>
      <c r="N254" s="138"/>
      <c r="O254" s="25"/>
    </row>
    <row r="255">
      <c r="A255" s="138"/>
      <c r="B255" s="25"/>
      <c r="C255" s="25"/>
      <c r="D255" s="138"/>
      <c r="E255" s="138"/>
      <c r="F255" s="138"/>
      <c r="G255" s="138"/>
      <c r="H255" s="138"/>
      <c r="I255" s="138"/>
      <c r="J255" s="138"/>
      <c r="K255" s="138"/>
      <c r="L255" s="138"/>
      <c r="M255" s="138"/>
      <c r="N255" s="138"/>
      <c r="O255" s="25"/>
    </row>
    <row r="256">
      <c r="A256" s="138"/>
      <c r="B256" s="25"/>
      <c r="C256" s="25"/>
      <c r="D256" s="138"/>
      <c r="E256" s="138"/>
      <c r="F256" s="138"/>
      <c r="G256" s="138"/>
      <c r="H256" s="138"/>
      <c r="I256" s="138"/>
      <c r="J256" s="138"/>
      <c r="K256" s="138"/>
      <c r="L256" s="138"/>
      <c r="M256" s="138"/>
      <c r="N256" s="138"/>
      <c r="O256" s="25"/>
    </row>
    <row r="257">
      <c r="A257" s="138"/>
      <c r="B257" s="25"/>
      <c r="C257" s="25"/>
      <c r="D257" s="138"/>
      <c r="E257" s="138"/>
      <c r="F257" s="138"/>
      <c r="G257" s="138"/>
      <c r="H257" s="138"/>
      <c r="I257" s="138"/>
      <c r="J257" s="138"/>
      <c r="K257" s="138"/>
      <c r="L257" s="138"/>
      <c r="M257" s="138"/>
      <c r="N257" s="138"/>
      <c r="O257" s="25"/>
    </row>
    <row r="258">
      <c r="A258" s="138"/>
      <c r="B258" s="25"/>
      <c r="C258" s="25"/>
      <c r="D258" s="138"/>
      <c r="E258" s="138"/>
      <c r="F258" s="138"/>
      <c r="G258" s="138"/>
      <c r="H258" s="138"/>
      <c r="I258" s="138"/>
      <c r="J258" s="138"/>
      <c r="K258" s="138"/>
      <c r="L258" s="138"/>
      <c r="M258" s="138"/>
      <c r="N258" s="138"/>
      <c r="O258" s="25"/>
    </row>
    <row r="259">
      <c r="A259" s="138"/>
      <c r="B259" s="25"/>
      <c r="C259" s="25"/>
      <c r="D259" s="138"/>
      <c r="E259" s="138"/>
      <c r="F259" s="138"/>
      <c r="G259" s="138"/>
      <c r="H259" s="138"/>
      <c r="I259" s="138"/>
      <c r="J259" s="138"/>
      <c r="K259" s="138"/>
      <c r="L259" s="138"/>
      <c r="M259" s="138"/>
      <c r="N259" s="138"/>
      <c r="O259" s="25"/>
    </row>
    <row r="260">
      <c r="A260" s="138"/>
      <c r="B260" s="25"/>
      <c r="C260" s="25"/>
      <c r="D260" s="138"/>
      <c r="E260" s="138"/>
      <c r="F260" s="138"/>
      <c r="G260" s="138"/>
      <c r="H260" s="138"/>
      <c r="I260" s="138"/>
      <c r="J260" s="138"/>
      <c r="K260" s="138"/>
      <c r="L260" s="138"/>
      <c r="M260" s="138"/>
      <c r="N260" s="138"/>
      <c r="O260" s="25"/>
    </row>
    <row r="261">
      <c r="A261" s="138"/>
      <c r="B261" s="25"/>
      <c r="C261" s="25"/>
      <c r="D261" s="138"/>
      <c r="E261" s="138"/>
      <c r="F261" s="138"/>
      <c r="G261" s="138"/>
      <c r="H261" s="138"/>
      <c r="I261" s="138"/>
      <c r="J261" s="138"/>
      <c r="K261" s="138"/>
      <c r="L261" s="138"/>
      <c r="M261" s="138"/>
      <c r="N261" s="138"/>
      <c r="O261" s="25"/>
    </row>
    <row r="262">
      <c r="A262" s="138"/>
      <c r="B262" s="25"/>
      <c r="C262" s="25"/>
      <c r="D262" s="138"/>
      <c r="E262" s="138"/>
      <c r="F262" s="138"/>
      <c r="G262" s="138"/>
      <c r="H262" s="138"/>
      <c r="I262" s="138"/>
      <c r="J262" s="138"/>
      <c r="K262" s="138"/>
      <c r="L262" s="138"/>
      <c r="M262" s="138"/>
      <c r="N262" s="138"/>
      <c r="O262" s="25"/>
    </row>
    <row r="263">
      <c r="A263" s="138"/>
      <c r="B263" s="25"/>
      <c r="C263" s="25"/>
      <c r="D263" s="138"/>
      <c r="E263" s="138"/>
      <c r="F263" s="138"/>
      <c r="G263" s="138"/>
      <c r="H263" s="138"/>
      <c r="I263" s="138"/>
      <c r="J263" s="138"/>
      <c r="K263" s="138"/>
      <c r="L263" s="138"/>
      <c r="M263" s="138"/>
      <c r="N263" s="138"/>
      <c r="O263" s="25"/>
    </row>
    <row r="264">
      <c r="A264" s="138"/>
      <c r="B264" s="25"/>
      <c r="C264" s="25"/>
      <c r="D264" s="138"/>
      <c r="E264" s="138"/>
      <c r="F264" s="138"/>
      <c r="G264" s="138"/>
      <c r="H264" s="138"/>
      <c r="I264" s="138"/>
      <c r="J264" s="138"/>
      <c r="K264" s="138"/>
      <c r="L264" s="138"/>
      <c r="M264" s="138"/>
      <c r="N264" s="138"/>
      <c r="O264" s="25"/>
    </row>
    <row r="265">
      <c r="A265" s="138"/>
      <c r="B265" s="25"/>
      <c r="C265" s="25"/>
      <c r="D265" s="138"/>
      <c r="E265" s="138"/>
      <c r="F265" s="138"/>
      <c r="G265" s="138"/>
      <c r="H265" s="138"/>
      <c r="I265" s="138"/>
      <c r="J265" s="138"/>
      <c r="K265" s="138"/>
      <c r="L265" s="138"/>
      <c r="M265" s="138"/>
      <c r="N265" s="138"/>
      <c r="O265" s="25"/>
    </row>
    <row r="266">
      <c r="A266" s="138"/>
      <c r="B266" s="25"/>
      <c r="C266" s="25"/>
      <c r="D266" s="138"/>
      <c r="E266" s="138"/>
      <c r="F266" s="138"/>
      <c r="G266" s="138"/>
      <c r="H266" s="138"/>
      <c r="I266" s="138"/>
      <c r="J266" s="138"/>
      <c r="K266" s="138"/>
      <c r="L266" s="138"/>
      <c r="M266" s="138"/>
      <c r="N266" s="138"/>
      <c r="O266" s="25"/>
    </row>
    <row r="267">
      <c r="A267" s="138"/>
      <c r="B267" s="25"/>
      <c r="C267" s="25"/>
      <c r="D267" s="138"/>
      <c r="E267" s="138"/>
      <c r="F267" s="138"/>
      <c r="G267" s="138"/>
      <c r="H267" s="138"/>
      <c r="I267" s="138"/>
      <c r="J267" s="138"/>
      <c r="K267" s="138"/>
      <c r="L267" s="138"/>
      <c r="M267" s="138"/>
      <c r="N267" s="138"/>
      <c r="O267" s="25"/>
    </row>
    <row r="268">
      <c r="A268" s="138"/>
      <c r="B268" s="25"/>
      <c r="C268" s="25"/>
      <c r="D268" s="138"/>
      <c r="E268" s="138"/>
      <c r="F268" s="138"/>
      <c r="G268" s="138"/>
      <c r="H268" s="138"/>
      <c r="I268" s="138"/>
      <c r="J268" s="138"/>
      <c r="K268" s="138"/>
      <c r="L268" s="138"/>
      <c r="M268" s="138"/>
      <c r="N268" s="138"/>
      <c r="O268" s="25"/>
    </row>
    <row r="269">
      <c r="A269" s="138"/>
      <c r="B269" s="25"/>
      <c r="C269" s="25"/>
      <c r="D269" s="138"/>
      <c r="E269" s="138"/>
      <c r="F269" s="138"/>
      <c r="G269" s="138"/>
      <c r="H269" s="138"/>
      <c r="I269" s="138"/>
      <c r="J269" s="138"/>
      <c r="K269" s="138"/>
      <c r="L269" s="138"/>
      <c r="M269" s="138"/>
      <c r="N269" s="138"/>
      <c r="O269" s="25"/>
    </row>
    <row r="270">
      <c r="A270" s="138"/>
      <c r="B270" s="25"/>
      <c r="C270" s="25"/>
      <c r="D270" s="138"/>
      <c r="E270" s="138"/>
      <c r="F270" s="138"/>
      <c r="G270" s="138"/>
      <c r="H270" s="138"/>
      <c r="I270" s="138"/>
      <c r="J270" s="138"/>
      <c r="K270" s="138"/>
      <c r="L270" s="138"/>
      <c r="M270" s="138"/>
      <c r="N270" s="138"/>
      <c r="O270" s="25"/>
    </row>
    <row r="271">
      <c r="A271" s="138"/>
      <c r="B271" s="25"/>
      <c r="C271" s="25"/>
      <c r="D271" s="138"/>
      <c r="E271" s="138"/>
      <c r="F271" s="138"/>
      <c r="G271" s="138"/>
      <c r="H271" s="138"/>
      <c r="I271" s="138"/>
      <c r="J271" s="138"/>
      <c r="K271" s="138"/>
      <c r="L271" s="138"/>
      <c r="M271" s="138"/>
      <c r="N271" s="138"/>
      <c r="O271" s="25"/>
    </row>
    <row r="272">
      <c r="A272" s="138"/>
      <c r="B272" s="25"/>
      <c r="C272" s="25"/>
      <c r="D272" s="138"/>
      <c r="E272" s="138"/>
      <c r="F272" s="138"/>
      <c r="G272" s="138"/>
      <c r="H272" s="138"/>
      <c r="I272" s="138"/>
      <c r="J272" s="138"/>
      <c r="K272" s="138"/>
      <c r="L272" s="138"/>
      <c r="M272" s="138"/>
      <c r="N272" s="138"/>
      <c r="O272" s="25"/>
    </row>
    <row r="273">
      <c r="A273" s="138"/>
      <c r="B273" s="25"/>
      <c r="C273" s="25"/>
      <c r="D273" s="138"/>
      <c r="E273" s="138"/>
      <c r="F273" s="138"/>
      <c r="G273" s="138"/>
      <c r="H273" s="138"/>
      <c r="I273" s="138"/>
      <c r="J273" s="138"/>
      <c r="K273" s="138"/>
      <c r="L273" s="138"/>
      <c r="M273" s="138"/>
      <c r="N273" s="138"/>
      <c r="O273" s="25"/>
    </row>
    <row r="274">
      <c r="A274" s="138"/>
      <c r="B274" s="25"/>
      <c r="C274" s="25"/>
      <c r="D274" s="138"/>
      <c r="E274" s="138"/>
      <c r="F274" s="138"/>
      <c r="G274" s="138"/>
      <c r="H274" s="138"/>
      <c r="I274" s="138"/>
      <c r="J274" s="138"/>
      <c r="K274" s="138"/>
      <c r="L274" s="138"/>
      <c r="M274" s="138"/>
      <c r="N274" s="138"/>
      <c r="O274" s="25"/>
    </row>
    <row r="275">
      <c r="A275" s="138"/>
      <c r="B275" s="25"/>
      <c r="C275" s="25"/>
      <c r="D275" s="138"/>
      <c r="E275" s="138"/>
      <c r="F275" s="138"/>
      <c r="G275" s="138"/>
      <c r="H275" s="138"/>
      <c r="I275" s="138"/>
      <c r="J275" s="138"/>
      <c r="K275" s="138"/>
      <c r="L275" s="138"/>
      <c r="M275" s="138"/>
      <c r="N275" s="138"/>
      <c r="O275" s="25"/>
    </row>
    <row r="276">
      <c r="A276" s="138"/>
      <c r="B276" s="25"/>
      <c r="C276" s="25"/>
      <c r="D276" s="138"/>
      <c r="E276" s="138"/>
      <c r="F276" s="138"/>
      <c r="G276" s="138"/>
      <c r="H276" s="138"/>
      <c r="I276" s="138"/>
      <c r="J276" s="138"/>
      <c r="K276" s="138"/>
      <c r="L276" s="138"/>
      <c r="M276" s="138"/>
      <c r="N276" s="138"/>
      <c r="O276" s="25"/>
    </row>
    <row r="277">
      <c r="A277" s="138"/>
      <c r="B277" s="25"/>
      <c r="C277" s="25"/>
      <c r="D277" s="138"/>
      <c r="E277" s="138"/>
      <c r="F277" s="138"/>
      <c r="G277" s="138"/>
      <c r="H277" s="138"/>
      <c r="I277" s="138"/>
      <c r="J277" s="138"/>
      <c r="K277" s="138"/>
      <c r="L277" s="138"/>
      <c r="M277" s="138"/>
      <c r="N277" s="138"/>
      <c r="O277" s="25"/>
    </row>
    <row r="278">
      <c r="A278" s="138"/>
      <c r="B278" s="25"/>
      <c r="C278" s="25"/>
      <c r="D278" s="138"/>
      <c r="E278" s="138"/>
      <c r="F278" s="138"/>
      <c r="G278" s="138"/>
      <c r="H278" s="138"/>
      <c r="I278" s="138"/>
      <c r="J278" s="138"/>
      <c r="K278" s="138"/>
      <c r="L278" s="138"/>
      <c r="M278" s="138"/>
      <c r="N278" s="138"/>
      <c r="O278" s="25"/>
    </row>
    <row r="279">
      <c r="A279" s="138"/>
      <c r="B279" s="25"/>
      <c r="C279" s="25"/>
      <c r="D279" s="138"/>
      <c r="E279" s="138"/>
      <c r="F279" s="138"/>
      <c r="G279" s="138"/>
      <c r="H279" s="138"/>
      <c r="I279" s="138"/>
      <c r="J279" s="138"/>
      <c r="K279" s="138"/>
      <c r="L279" s="138"/>
      <c r="M279" s="138"/>
      <c r="N279" s="138"/>
      <c r="O279" s="25"/>
    </row>
    <row r="280">
      <c r="A280" s="138"/>
      <c r="B280" s="25"/>
      <c r="C280" s="25"/>
      <c r="D280" s="138"/>
      <c r="E280" s="138"/>
      <c r="F280" s="138"/>
      <c r="G280" s="138"/>
      <c r="H280" s="138"/>
      <c r="I280" s="138"/>
      <c r="J280" s="138"/>
      <c r="K280" s="138"/>
      <c r="L280" s="138"/>
      <c r="M280" s="138"/>
      <c r="N280" s="138"/>
      <c r="O280" s="25"/>
    </row>
    <row r="281">
      <c r="A281" s="138"/>
      <c r="B281" s="25"/>
      <c r="C281" s="25"/>
      <c r="D281" s="138"/>
      <c r="E281" s="138"/>
      <c r="F281" s="138"/>
      <c r="G281" s="138"/>
      <c r="H281" s="138"/>
      <c r="I281" s="138"/>
      <c r="J281" s="138"/>
      <c r="K281" s="138"/>
      <c r="L281" s="138"/>
      <c r="M281" s="138"/>
      <c r="N281" s="138"/>
      <c r="O281" s="25"/>
    </row>
    <row r="282">
      <c r="A282" s="138"/>
      <c r="B282" s="25"/>
      <c r="C282" s="25"/>
      <c r="D282" s="138"/>
      <c r="E282" s="138"/>
      <c r="F282" s="138"/>
      <c r="G282" s="138"/>
      <c r="H282" s="138"/>
      <c r="I282" s="138"/>
      <c r="J282" s="138"/>
      <c r="K282" s="138"/>
      <c r="L282" s="138"/>
      <c r="M282" s="138"/>
      <c r="N282" s="138"/>
      <c r="O282" s="25"/>
    </row>
    <row r="283">
      <c r="A283" s="138"/>
      <c r="B283" s="25"/>
      <c r="C283" s="25"/>
      <c r="D283" s="138"/>
      <c r="E283" s="138"/>
      <c r="F283" s="138"/>
      <c r="G283" s="138"/>
      <c r="H283" s="138"/>
      <c r="I283" s="138"/>
      <c r="J283" s="138"/>
      <c r="K283" s="138"/>
      <c r="L283" s="138"/>
      <c r="M283" s="138"/>
      <c r="N283" s="138"/>
      <c r="O283" s="25"/>
    </row>
    <row r="284">
      <c r="A284" s="138"/>
      <c r="B284" s="25"/>
      <c r="C284" s="25"/>
      <c r="D284" s="138"/>
      <c r="E284" s="138"/>
      <c r="F284" s="138"/>
      <c r="G284" s="138"/>
      <c r="H284" s="138"/>
      <c r="I284" s="138"/>
      <c r="J284" s="138"/>
      <c r="K284" s="138"/>
      <c r="L284" s="138"/>
      <c r="M284" s="138"/>
      <c r="N284" s="138"/>
      <c r="O284" s="25"/>
    </row>
    <row r="285">
      <c r="A285" s="138"/>
      <c r="B285" s="25"/>
      <c r="C285" s="25"/>
      <c r="D285" s="138"/>
      <c r="E285" s="138"/>
      <c r="F285" s="138"/>
      <c r="G285" s="138"/>
      <c r="H285" s="138"/>
      <c r="I285" s="138"/>
      <c r="J285" s="138"/>
      <c r="K285" s="138"/>
      <c r="L285" s="138"/>
      <c r="M285" s="138"/>
      <c r="N285" s="138"/>
      <c r="O285" s="25"/>
    </row>
    <row r="286">
      <c r="A286" s="138"/>
      <c r="B286" s="25"/>
      <c r="C286" s="25"/>
      <c r="D286" s="138"/>
      <c r="E286" s="138"/>
      <c r="F286" s="138"/>
      <c r="G286" s="138"/>
      <c r="H286" s="138"/>
      <c r="I286" s="138"/>
      <c r="J286" s="138"/>
      <c r="K286" s="138"/>
      <c r="L286" s="138"/>
      <c r="M286" s="138"/>
      <c r="N286" s="138"/>
      <c r="O286" s="25"/>
    </row>
    <row r="287">
      <c r="A287" s="138"/>
      <c r="B287" s="25"/>
      <c r="C287" s="25"/>
      <c r="D287" s="138"/>
      <c r="E287" s="138"/>
      <c r="F287" s="138"/>
      <c r="G287" s="138"/>
      <c r="H287" s="138"/>
      <c r="I287" s="138"/>
      <c r="J287" s="138"/>
      <c r="K287" s="138"/>
      <c r="L287" s="138"/>
      <c r="M287" s="138"/>
      <c r="N287" s="138"/>
      <c r="O287" s="25"/>
    </row>
    <row r="288">
      <c r="A288" s="138"/>
      <c r="B288" s="25"/>
      <c r="C288" s="25"/>
      <c r="D288" s="138"/>
      <c r="E288" s="138"/>
      <c r="F288" s="138"/>
      <c r="G288" s="138"/>
      <c r="H288" s="138"/>
      <c r="I288" s="138"/>
      <c r="J288" s="138"/>
      <c r="K288" s="138"/>
      <c r="L288" s="138"/>
      <c r="M288" s="138"/>
      <c r="N288" s="138"/>
      <c r="O288" s="25"/>
    </row>
    <row r="289">
      <c r="A289" s="138"/>
      <c r="B289" s="25"/>
      <c r="C289" s="25"/>
      <c r="D289" s="138"/>
      <c r="E289" s="138"/>
      <c r="F289" s="138"/>
      <c r="G289" s="138"/>
      <c r="H289" s="138"/>
      <c r="I289" s="138"/>
      <c r="J289" s="138"/>
      <c r="K289" s="138"/>
      <c r="L289" s="138"/>
      <c r="M289" s="138"/>
      <c r="N289" s="138"/>
      <c r="O289" s="25"/>
    </row>
    <row r="290">
      <c r="A290" s="138"/>
      <c r="B290" s="25"/>
      <c r="C290" s="25"/>
      <c r="D290" s="138"/>
      <c r="E290" s="138"/>
      <c r="F290" s="138"/>
      <c r="G290" s="138"/>
      <c r="H290" s="138"/>
      <c r="I290" s="138"/>
      <c r="J290" s="138"/>
      <c r="K290" s="138"/>
      <c r="L290" s="138"/>
      <c r="M290" s="138"/>
      <c r="N290" s="138"/>
      <c r="O290" s="25"/>
    </row>
    <row r="291">
      <c r="A291" s="138"/>
      <c r="B291" s="25"/>
      <c r="C291" s="25"/>
      <c r="D291" s="138"/>
      <c r="E291" s="138"/>
      <c r="F291" s="138"/>
      <c r="G291" s="138"/>
      <c r="H291" s="138"/>
      <c r="I291" s="138"/>
      <c r="J291" s="138"/>
      <c r="K291" s="138"/>
      <c r="L291" s="138"/>
      <c r="M291" s="138"/>
      <c r="N291" s="138"/>
      <c r="O291" s="25"/>
    </row>
    <row r="292">
      <c r="A292" s="138"/>
      <c r="B292" s="25"/>
      <c r="C292" s="25"/>
      <c r="D292" s="138"/>
      <c r="E292" s="138"/>
      <c r="F292" s="138"/>
      <c r="G292" s="138"/>
      <c r="H292" s="138"/>
      <c r="I292" s="138"/>
      <c r="J292" s="138"/>
      <c r="K292" s="138"/>
      <c r="L292" s="138"/>
      <c r="M292" s="138"/>
      <c r="N292" s="138"/>
      <c r="O292" s="25"/>
    </row>
    <row r="293">
      <c r="A293" s="138"/>
      <c r="B293" s="25"/>
      <c r="C293" s="25"/>
      <c r="D293" s="138"/>
      <c r="E293" s="138"/>
      <c r="F293" s="138"/>
      <c r="G293" s="138"/>
      <c r="H293" s="138"/>
      <c r="I293" s="138"/>
      <c r="J293" s="138"/>
      <c r="K293" s="138"/>
      <c r="L293" s="138"/>
      <c r="M293" s="138"/>
      <c r="N293" s="138"/>
      <c r="O293" s="25"/>
    </row>
    <row r="294">
      <c r="A294" s="138"/>
      <c r="B294" s="25"/>
      <c r="C294" s="25"/>
      <c r="D294" s="138"/>
      <c r="E294" s="138"/>
      <c r="F294" s="138"/>
      <c r="G294" s="138"/>
      <c r="H294" s="138"/>
      <c r="I294" s="138"/>
      <c r="J294" s="138"/>
      <c r="K294" s="138"/>
      <c r="L294" s="138"/>
      <c r="M294" s="138"/>
      <c r="N294" s="138"/>
      <c r="O294" s="25"/>
    </row>
    <row r="295">
      <c r="A295" s="138"/>
      <c r="B295" s="25"/>
      <c r="C295" s="25"/>
      <c r="D295" s="138"/>
      <c r="E295" s="138"/>
      <c r="F295" s="138"/>
      <c r="G295" s="138"/>
      <c r="H295" s="138"/>
      <c r="I295" s="138"/>
      <c r="J295" s="138"/>
      <c r="K295" s="138"/>
      <c r="L295" s="138"/>
      <c r="M295" s="138"/>
      <c r="N295" s="138"/>
      <c r="O295" s="25"/>
    </row>
    <row r="296">
      <c r="A296" s="138"/>
      <c r="B296" s="25"/>
      <c r="C296" s="25"/>
      <c r="D296" s="138"/>
      <c r="E296" s="138"/>
      <c r="F296" s="138"/>
      <c r="G296" s="138"/>
      <c r="H296" s="138"/>
      <c r="I296" s="138"/>
      <c r="J296" s="138"/>
      <c r="K296" s="138"/>
      <c r="L296" s="138"/>
      <c r="M296" s="138"/>
      <c r="N296" s="138"/>
      <c r="O296" s="25"/>
    </row>
    <row r="297">
      <c r="A297" s="138"/>
      <c r="B297" s="25"/>
      <c r="C297" s="25"/>
      <c r="D297" s="138"/>
      <c r="E297" s="138"/>
      <c r="F297" s="138"/>
      <c r="G297" s="138"/>
      <c r="H297" s="138"/>
      <c r="I297" s="138"/>
      <c r="J297" s="138"/>
      <c r="K297" s="138"/>
      <c r="L297" s="138"/>
      <c r="M297" s="138"/>
      <c r="N297" s="138"/>
      <c r="O297" s="25"/>
    </row>
    <row r="298">
      <c r="A298" s="138"/>
      <c r="B298" s="25"/>
      <c r="C298" s="25"/>
      <c r="D298" s="138"/>
      <c r="E298" s="138"/>
      <c r="F298" s="138"/>
      <c r="G298" s="138"/>
      <c r="H298" s="138"/>
      <c r="I298" s="138"/>
      <c r="J298" s="138"/>
      <c r="K298" s="138"/>
      <c r="L298" s="138"/>
      <c r="M298" s="138"/>
      <c r="N298" s="138"/>
      <c r="O298" s="25"/>
    </row>
    <row r="299">
      <c r="A299" s="138"/>
      <c r="B299" s="25"/>
      <c r="C299" s="25"/>
      <c r="D299" s="138"/>
      <c r="E299" s="138"/>
      <c r="F299" s="138"/>
      <c r="G299" s="138"/>
      <c r="H299" s="138"/>
      <c r="I299" s="138"/>
      <c r="J299" s="138"/>
      <c r="K299" s="138"/>
      <c r="L299" s="138"/>
      <c r="M299" s="138"/>
      <c r="N299" s="138"/>
      <c r="O299" s="25"/>
    </row>
    <row r="300">
      <c r="A300" s="138"/>
      <c r="B300" s="25"/>
      <c r="C300" s="25"/>
      <c r="D300" s="138"/>
      <c r="E300" s="138"/>
      <c r="F300" s="138"/>
      <c r="G300" s="138"/>
      <c r="H300" s="138"/>
      <c r="I300" s="138"/>
      <c r="J300" s="138"/>
      <c r="K300" s="138"/>
      <c r="L300" s="138"/>
      <c r="M300" s="138"/>
      <c r="N300" s="138"/>
      <c r="O300" s="25"/>
    </row>
    <row r="301">
      <c r="A301" s="138"/>
      <c r="B301" s="25"/>
      <c r="C301" s="25"/>
      <c r="D301" s="138"/>
      <c r="E301" s="138"/>
      <c r="F301" s="138"/>
      <c r="G301" s="138"/>
      <c r="H301" s="138"/>
      <c r="I301" s="138"/>
      <c r="J301" s="138"/>
      <c r="K301" s="138"/>
      <c r="L301" s="138"/>
      <c r="M301" s="138"/>
      <c r="N301" s="138"/>
      <c r="O301" s="25"/>
    </row>
    <row r="302">
      <c r="A302" s="138"/>
      <c r="B302" s="25"/>
      <c r="C302" s="25"/>
      <c r="D302" s="138"/>
      <c r="E302" s="138"/>
      <c r="F302" s="138"/>
      <c r="G302" s="138"/>
      <c r="H302" s="138"/>
      <c r="I302" s="138"/>
      <c r="J302" s="138"/>
      <c r="K302" s="138"/>
      <c r="L302" s="138"/>
      <c r="M302" s="138"/>
      <c r="N302" s="138"/>
      <c r="O302" s="25"/>
    </row>
    <row r="303">
      <c r="A303" s="138"/>
      <c r="B303" s="25"/>
      <c r="C303" s="25"/>
      <c r="D303" s="138"/>
      <c r="E303" s="138"/>
      <c r="F303" s="138"/>
      <c r="G303" s="138"/>
      <c r="H303" s="138"/>
      <c r="I303" s="138"/>
      <c r="J303" s="138"/>
      <c r="K303" s="138"/>
      <c r="L303" s="138"/>
      <c r="M303" s="138"/>
      <c r="N303" s="138"/>
      <c r="O303" s="25"/>
    </row>
    <row r="304">
      <c r="A304" s="138"/>
      <c r="B304" s="25"/>
      <c r="C304" s="25"/>
      <c r="D304" s="138"/>
      <c r="E304" s="138"/>
      <c r="F304" s="138"/>
      <c r="G304" s="138"/>
      <c r="H304" s="138"/>
      <c r="I304" s="138"/>
      <c r="J304" s="138"/>
      <c r="K304" s="138"/>
      <c r="L304" s="138"/>
      <c r="M304" s="138"/>
      <c r="N304" s="138"/>
      <c r="O304" s="25"/>
    </row>
    <row r="305">
      <c r="A305" s="138"/>
      <c r="B305" s="25"/>
      <c r="C305" s="25"/>
      <c r="D305" s="138"/>
      <c r="E305" s="138"/>
      <c r="F305" s="138"/>
      <c r="G305" s="138"/>
      <c r="H305" s="138"/>
      <c r="I305" s="138"/>
      <c r="J305" s="138"/>
      <c r="K305" s="138"/>
      <c r="L305" s="138"/>
      <c r="M305" s="138"/>
      <c r="N305" s="138"/>
      <c r="O305" s="25"/>
    </row>
    <row r="306">
      <c r="A306" s="138"/>
      <c r="B306" s="25"/>
      <c r="C306" s="25"/>
      <c r="D306" s="138"/>
      <c r="E306" s="138"/>
      <c r="F306" s="138"/>
      <c r="G306" s="138"/>
      <c r="H306" s="138"/>
      <c r="I306" s="138"/>
      <c r="J306" s="138"/>
      <c r="K306" s="138"/>
      <c r="L306" s="138"/>
      <c r="M306" s="138"/>
      <c r="N306" s="138"/>
      <c r="O306" s="25"/>
    </row>
    <row r="307">
      <c r="A307" s="138"/>
      <c r="B307" s="25"/>
      <c r="C307" s="25"/>
      <c r="D307" s="138"/>
      <c r="E307" s="138"/>
      <c r="F307" s="138"/>
      <c r="G307" s="138"/>
      <c r="H307" s="138"/>
      <c r="I307" s="138"/>
      <c r="J307" s="138"/>
      <c r="K307" s="138"/>
      <c r="L307" s="138"/>
      <c r="M307" s="138"/>
      <c r="N307" s="138"/>
      <c r="O307" s="25"/>
    </row>
    <row r="308">
      <c r="A308" s="138"/>
      <c r="B308" s="25"/>
      <c r="C308" s="25"/>
      <c r="D308" s="138"/>
      <c r="E308" s="138"/>
      <c r="F308" s="138"/>
      <c r="G308" s="138"/>
      <c r="H308" s="138"/>
      <c r="I308" s="138"/>
      <c r="J308" s="138"/>
      <c r="K308" s="138"/>
      <c r="L308" s="138"/>
      <c r="M308" s="138"/>
      <c r="N308" s="138"/>
      <c r="O308" s="25"/>
    </row>
    <row r="309">
      <c r="A309" s="138"/>
      <c r="B309" s="25"/>
      <c r="C309" s="25"/>
      <c r="D309" s="138"/>
      <c r="E309" s="138"/>
      <c r="F309" s="138"/>
      <c r="G309" s="138"/>
      <c r="H309" s="138"/>
      <c r="I309" s="138"/>
      <c r="J309" s="138"/>
      <c r="K309" s="138"/>
      <c r="L309" s="138"/>
      <c r="M309" s="138"/>
      <c r="N309" s="138"/>
      <c r="O309" s="25"/>
    </row>
    <row r="310">
      <c r="A310" s="138"/>
      <c r="B310" s="25"/>
      <c r="C310" s="25"/>
      <c r="D310" s="138"/>
      <c r="E310" s="138"/>
      <c r="F310" s="138"/>
      <c r="G310" s="138"/>
      <c r="H310" s="138"/>
      <c r="I310" s="138"/>
      <c r="J310" s="138"/>
      <c r="K310" s="138"/>
      <c r="L310" s="138"/>
      <c r="M310" s="138"/>
      <c r="N310" s="138"/>
      <c r="O310" s="25"/>
    </row>
    <row r="311">
      <c r="A311" s="138"/>
      <c r="B311" s="25"/>
      <c r="C311" s="25"/>
      <c r="D311" s="138"/>
      <c r="E311" s="138"/>
      <c r="F311" s="138"/>
      <c r="G311" s="138"/>
      <c r="H311" s="138"/>
      <c r="I311" s="138"/>
      <c r="J311" s="138"/>
      <c r="K311" s="138"/>
      <c r="L311" s="138"/>
      <c r="M311" s="138"/>
      <c r="N311" s="138"/>
      <c r="O311" s="25"/>
    </row>
    <row r="312">
      <c r="A312" s="138"/>
      <c r="B312" s="25"/>
      <c r="C312" s="25"/>
      <c r="D312" s="138"/>
      <c r="E312" s="138"/>
      <c r="F312" s="138"/>
      <c r="G312" s="138"/>
      <c r="H312" s="138"/>
      <c r="I312" s="138"/>
      <c r="J312" s="138"/>
      <c r="K312" s="138"/>
      <c r="L312" s="138"/>
      <c r="M312" s="138"/>
      <c r="N312" s="138"/>
      <c r="O312" s="25"/>
    </row>
    <row r="313">
      <c r="A313" s="138"/>
      <c r="B313" s="25"/>
      <c r="C313" s="25"/>
      <c r="D313" s="138"/>
      <c r="E313" s="138"/>
      <c r="F313" s="138"/>
      <c r="G313" s="138"/>
      <c r="H313" s="138"/>
      <c r="I313" s="138"/>
      <c r="J313" s="138"/>
      <c r="K313" s="138"/>
      <c r="L313" s="138"/>
      <c r="M313" s="138"/>
      <c r="N313" s="138"/>
      <c r="O313" s="25"/>
    </row>
    <row r="314">
      <c r="A314" s="138"/>
      <c r="B314" s="25"/>
      <c r="C314" s="25"/>
      <c r="D314" s="138"/>
      <c r="E314" s="138"/>
      <c r="F314" s="138"/>
      <c r="G314" s="138"/>
      <c r="H314" s="138"/>
      <c r="I314" s="138"/>
      <c r="J314" s="138"/>
      <c r="K314" s="138"/>
      <c r="L314" s="138"/>
      <c r="M314" s="138"/>
      <c r="N314" s="138"/>
      <c r="O314" s="25"/>
    </row>
    <row r="315">
      <c r="A315" s="138"/>
      <c r="B315" s="25"/>
      <c r="C315" s="25"/>
      <c r="D315" s="138"/>
      <c r="E315" s="138"/>
      <c r="F315" s="138"/>
      <c r="G315" s="138"/>
      <c r="H315" s="138"/>
      <c r="I315" s="138"/>
      <c r="J315" s="138"/>
      <c r="K315" s="138"/>
      <c r="L315" s="138"/>
      <c r="M315" s="138"/>
      <c r="N315" s="138"/>
      <c r="O315" s="25"/>
    </row>
    <row r="316">
      <c r="A316" s="138"/>
      <c r="B316" s="25"/>
      <c r="C316" s="25"/>
      <c r="D316" s="138"/>
      <c r="E316" s="138"/>
      <c r="F316" s="138"/>
      <c r="G316" s="138"/>
      <c r="H316" s="138"/>
      <c r="I316" s="138"/>
      <c r="J316" s="138"/>
      <c r="K316" s="138"/>
      <c r="L316" s="138"/>
      <c r="M316" s="138"/>
      <c r="N316" s="138"/>
      <c r="O316" s="25"/>
    </row>
    <row r="317">
      <c r="A317" s="138"/>
      <c r="B317" s="25"/>
      <c r="C317" s="25"/>
      <c r="D317" s="138"/>
      <c r="E317" s="138"/>
      <c r="F317" s="138"/>
      <c r="G317" s="138"/>
      <c r="H317" s="138"/>
      <c r="I317" s="138"/>
      <c r="J317" s="138"/>
      <c r="K317" s="138"/>
      <c r="L317" s="138"/>
      <c r="M317" s="138"/>
      <c r="N317" s="138"/>
      <c r="O317" s="25"/>
    </row>
    <row r="318">
      <c r="A318" s="138"/>
      <c r="B318" s="25"/>
      <c r="C318" s="25"/>
      <c r="D318" s="138"/>
      <c r="E318" s="138"/>
      <c r="F318" s="138"/>
      <c r="G318" s="138"/>
      <c r="H318" s="138"/>
      <c r="I318" s="138"/>
      <c r="J318" s="138"/>
      <c r="K318" s="138"/>
      <c r="L318" s="138"/>
      <c r="M318" s="138"/>
      <c r="N318" s="138"/>
      <c r="O318" s="25"/>
    </row>
    <row r="319">
      <c r="A319" s="138"/>
      <c r="B319" s="25"/>
      <c r="C319" s="25"/>
      <c r="D319" s="138"/>
      <c r="E319" s="138"/>
      <c r="F319" s="138"/>
      <c r="G319" s="138"/>
      <c r="H319" s="138"/>
      <c r="I319" s="138"/>
      <c r="J319" s="138"/>
      <c r="K319" s="138"/>
      <c r="L319" s="138"/>
      <c r="M319" s="138"/>
      <c r="N319" s="138"/>
      <c r="O319" s="25"/>
    </row>
    <row r="320">
      <c r="A320" s="138"/>
      <c r="B320" s="25"/>
      <c r="C320" s="25"/>
      <c r="D320" s="138"/>
      <c r="E320" s="138"/>
      <c r="F320" s="138"/>
      <c r="G320" s="138"/>
      <c r="H320" s="138"/>
      <c r="I320" s="138"/>
      <c r="J320" s="138"/>
      <c r="K320" s="138"/>
      <c r="L320" s="138"/>
      <c r="M320" s="138"/>
      <c r="N320" s="138"/>
      <c r="O320" s="25"/>
    </row>
    <row r="321">
      <c r="A321" s="138"/>
      <c r="B321" s="25"/>
      <c r="C321" s="25"/>
      <c r="D321" s="138"/>
      <c r="E321" s="138"/>
      <c r="F321" s="138"/>
      <c r="G321" s="138"/>
      <c r="H321" s="138"/>
      <c r="I321" s="138"/>
      <c r="J321" s="138"/>
      <c r="K321" s="138"/>
      <c r="L321" s="138"/>
      <c r="M321" s="138"/>
      <c r="N321" s="138"/>
      <c r="O321" s="25"/>
    </row>
    <row r="322">
      <c r="A322" s="138"/>
      <c r="B322" s="25"/>
      <c r="C322" s="25"/>
      <c r="D322" s="138"/>
      <c r="E322" s="138"/>
      <c r="F322" s="138"/>
      <c r="G322" s="138"/>
      <c r="H322" s="138"/>
      <c r="I322" s="138"/>
      <c r="J322" s="138"/>
      <c r="K322" s="138"/>
      <c r="L322" s="138"/>
      <c r="M322" s="138"/>
      <c r="N322" s="138"/>
      <c r="O322" s="25"/>
    </row>
    <row r="323">
      <c r="A323" s="138"/>
      <c r="B323" s="25"/>
      <c r="C323" s="25"/>
      <c r="D323" s="138"/>
      <c r="E323" s="138"/>
      <c r="F323" s="138"/>
      <c r="G323" s="138"/>
      <c r="H323" s="138"/>
      <c r="I323" s="138"/>
      <c r="J323" s="138"/>
      <c r="K323" s="138"/>
      <c r="L323" s="138"/>
      <c r="M323" s="138"/>
      <c r="N323" s="138"/>
      <c r="O323" s="25"/>
    </row>
    <row r="324">
      <c r="A324" s="138"/>
      <c r="B324" s="25"/>
      <c r="C324" s="25"/>
      <c r="D324" s="138"/>
      <c r="E324" s="138"/>
      <c r="F324" s="138"/>
      <c r="G324" s="138"/>
      <c r="H324" s="138"/>
      <c r="I324" s="138"/>
      <c r="J324" s="138"/>
      <c r="K324" s="138"/>
      <c r="L324" s="138"/>
      <c r="M324" s="138"/>
      <c r="N324" s="138"/>
      <c r="O324" s="25"/>
    </row>
    <row r="325">
      <c r="A325" s="138"/>
      <c r="B325" s="25"/>
      <c r="C325" s="25"/>
      <c r="D325" s="138"/>
      <c r="E325" s="138"/>
      <c r="F325" s="138"/>
      <c r="G325" s="138"/>
      <c r="H325" s="138"/>
      <c r="I325" s="138"/>
      <c r="J325" s="138"/>
      <c r="K325" s="138"/>
      <c r="L325" s="138"/>
      <c r="M325" s="138"/>
      <c r="N325" s="138"/>
      <c r="O325" s="25"/>
    </row>
    <row r="326">
      <c r="A326" s="138"/>
      <c r="B326" s="25"/>
      <c r="C326" s="25"/>
      <c r="D326" s="138"/>
      <c r="E326" s="138"/>
      <c r="F326" s="138"/>
      <c r="G326" s="138"/>
      <c r="H326" s="138"/>
      <c r="I326" s="138"/>
      <c r="J326" s="138"/>
      <c r="K326" s="138"/>
      <c r="L326" s="138"/>
      <c r="M326" s="138"/>
      <c r="N326" s="138"/>
      <c r="O326" s="25"/>
    </row>
    <row r="327">
      <c r="A327" s="138"/>
      <c r="B327" s="25"/>
      <c r="C327" s="25"/>
      <c r="D327" s="138"/>
      <c r="E327" s="138"/>
      <c r="F327" s="138"/>
      <c r="G327" s="138"/>
      <c r="H327" s="138"/>
      <c r="I327" s="138"/>
      <c r="J327" s="138"/>
      <c r="K327" s="138"/>
      <c r="L327" s="138"/>
      <c r="M327" s="138"/>
      <c r="N327" s="138"/>
      <c r="O327" s="25"/>
    </row>
    <row r="328">
      <c r="A328" s="138"/>
      <c r="B328" s="25"/>
      <c r="C328" s="25"/>
      <c r="D328" s="138"/>
      <c r="E328" s="138"/>
      <c r="F328" s="138"/>
      <c r="G328" s="138"/>
      <c r="H328" s="138"/>
      <c r="I328" s="138"/>
      <c r="J328" s="138"/>
      <c r="K328" s="138"/>
      <c r="L328" s="138"/>
      <c r="M328" s="138"/>
      <c r="N328" s="138"/>
      <c r="O328" s="25"/>
    </row>
    <row r="329">
      <c r="A329" s="138"/>
      <c r="B329" s="25"/>
      <c r="C329" s="25"/>
      <c r="D329" s="138"/>
      <c r="E329" s="138"/>
      <c r="F329" s="138"/>
      <c r="G329" s="138"/>
      <c r="H329" s="138"/>
      <c r="I329" s="138"/>
      <c r="J329" s="138"/>
      <c r="K329" s="138"/>
      <c r="L329" s="138"/>
      <c r="M329" s="138"/>
      <c r="N329" s="138"/>
      <c r="O329" s="25"/>
    </row>
    <row r="330">
      <c r="A330" s="138"/>
      <c r="B330" s="25"/>
      <c r="C330" s="25"/>
      <c r="D330" s="138"/>
      <c r="E330" s="138"/>
      <c r="F330" s="138"/>
      <c r="G330" s="138"/>
      <c r="H330" s="138"/>
      <c r="I330" s="138"/>
      <c r="J330" s="138"/>
      <c r="K330" s="138"/>
      <c r="L330" s="138"/>
      <c r="M330" s="138"/>
      <c r="N330" s="138"/>
      <c r="O330" s="25"/>
    </row>
    <row r="331">
      <c r="A331" s="138"/>
      <c r="B331" s="25"/>
      <c r="C331" s="25"/>
      <c r="D331" s="138"/>
      <c r="E331" s="138"/>
      <c r="F331" s="138"/>
      <c r="G331" s="138"/>
      <c r="H331" s="138"/>
      <c r="I331" s="138"/>
      <c r="J331" s="138"/>
      <c r="K331" s="138"/>
      <c r="L331" s="138"/>
      <c r="M331" s="138"/>
      <c r="N331" s="138"/>
      <c r="O331" s="25"/>
    </row>
    <row r="332">
      <c r="A332" s="138"/>
      <c r="B332" s="25"/>
      <c r="C332" s="25"/>
      <c r="D332" s="138"/>
      <c r="E332" s="138"/>
      <c r="F332" s="138"/>
      <c r="G332" s="138"/>
      <c r="H332" s="138"/>
      <c r="I332" s="138"/>
      <c r="J332" s="138"/>
      <c r="K332" s="138"/>
      <c r="L332" s="138"/>
      <c r="M332" s="138"/>
      <c r="N332" s="138"/>
      <c r="O332" s="25"/>
    </row>
    <row r="333">
      <c r="A333" s="138"/>
      <c r="B333" s="25"/>
      <c r="C333" s="25"/>
      <c r="D333" s="138"/>
      <c r="E333" s="138"/>
      <c r="F333" s="138"/>
      <c r="G333" s="138"/>
      <c r="H333" s="138"/>
      <c r="I333" s="138"/>
      <c r="J333" s="138"/>
      <c r="K333" s="138"/>
      <c r="L333" s="138"/>
      <c r="M333" s="138"/>
      <c r="N333" s="138"/>
      <c r="O333" s="25"/>
    </row>
    <row r="334">
      <c r="A334" s="138"/>
      <c r="B334" s="25"/>
      <c r="C334" s="25"/>
      <c r="D334" s="138"/>
      <c r="E334" s="138"/>
      <c r="F334" s="138"/>
      <c r="G334" s="138"/>
      <c r="H334" s="138"/>
      <c r="I334" s="138"/>
      <c r="J334" s="138"/>
      <c r="K334" s="138"/>
      <c r="L334" s="138"/>
      <c r="M334" s="138"/>
      <c r="N334" s="138"/>
      <c r="O334" s="25"/>
    </row>
    <row r="335">
      <c r="A335" s="138"/>
      <c r="B335" s="25"/>
      <c r="C335" s="25"/>
      <c r="D335" s="138"/>
      <c r="E335" s="138"/>
      <c r="F335" s="138"/>
      <c r="G335" s="138"/>
      <c r="H335" s="138"/>
      <c r="I335" s="138"/>
      <c r="J335" s="138"/>
      <c r="K335" s="138"/>
      <c r="L335" s="138"/>
      <c r="M335" s="138"/>
      <c r="N335" s="138"/>
      <c r="O335" s="25"/>
    </row>
    <row r="336">
      <c r="A336" s="138"/>
      <c r="B336" s="25"/>
      <c r="C336" s="25"/>
      <c r="D336" s="138"/>
      <c r="E336" s="138"/>
      <c r="F336" s="138"/>
      <c r="G336" s="138"/>
      <c r="H336" s="138"/>
      <c r="I336" s="138"/>
      <c r="J336" s="138"/>
      <c r="K336" s="138"/>
      <c r="L336" s="138"/>
      <c r="M336" s="138"/>
      <c r="N336" s="138"/>
      <c r="O336" s="25"/>
    </row>
    <row r="337">
      <c r="A337" s="138"/>
      <c r="B337" s="25"/>
      <c r="C337" s="25"/>
      <c r="D337" s="138"/>
      <c r="E337" s="138"/>
      <c r="F337" s="138"/>
      <c r="G337" s="138"/>
      <c r="H337" s="138"/>
      <c r="I337" s="138"/>
      <c r="J337" s="138"/>
      <c r="K337" s="138"/>
      <c r="L337" s="138"/>
      <c r="M337" s="138"/>
      <c r="N337" s="138"/>
      <c r="O337" s="25"/>
    </row>
    <row r="338">
      <c r="A338" s="138"/>
      <c r="B338" s="25"/>
      <c r="C338" s="25"/>
      <c r="D338" s="138"/>
      <c r="E338" s="138"/>
      <c r="F338" s="138"/>
      <c r="G338" s="138"/>
      <c r="H338" s="138"/>
      <c r="I338" s="138"/>
      <c r="J338" s="138"/>
      <c r="K338" s="138"/>
      <c r="L338" s="138"/>
      <c r="M338" s="138"/>
      <c r="N338" s="138"/>
      <c r="O338" s="25"/>
    </row>
    <row r="339">
      <c r="A339" s="138"/>
      <c r="B339" s="25"/>
      <c r="C339" s="25"/>
      <c r="D339" s="138"/>
      <c r="E339" s="138"/>
      <c r="F339" s="138"/>
      <c r="G339" s="138"/>
      <c r="H339" s="138"/>
      <c r="I339" s="138"/>
      <c r="J339" s="138"/>
      <c r="K339" s="138"/>
      <c r="L339" s="138"/>
      <c r="M339" s="138"/>
      <c r="N339" s="138"/>
      <c r="O339" s="25"/>
    </row>
    <row r="340">
      <c r="A340" s="138"/>
      <c r="B340" s="25"/>
      <c r="C340" s="25"/>
      <c r="D340" s="138"/>
      <c r="E340" s="138"/>
      <c r="F340" s="138"/>
      <c r="G340" s="138"/>
      <c r="H340" s="138"/>
      <c r="I340" s="138"/>
      <c r="J340" s="138"/>
      <c r="K340" s="138"/>
      <c r="L340" s="138"/>
      <c r="M340" s="138"/>
      <c r="N340" s="138"/>
      <c r="O340" s="25"/>
    </row>
    <row r="341">
      <c r="A341" s="138"/>
      <c r="B341" s="25"/>
      <c r="C341" s="25"/>
      <c r="D341" s="138"/>
      <c r="E341" s="138"/>
      <c r="F341" s="138"/>
      <c r="G341" s="138"/>
      <c r="H341" s="138"/>
      <c r="I341" s="138"/>
      <c r="J341" s="138"/>
      <c r="K341" s="138"/>
      <c r="L341" s="138"/>
      <c r="M341" s="138"/>
      <c r="N341" s="138"/>
      <c r="O341" s="25"/>
    </row>
    <row r="342">
      <c r="A342" s="138"/>
      <c r="B342" s="25"/>
      <c r="C342" s="25"/>
      <c r="D342" s="138"/>
      <c r="E342" s="138"/>
      <c r="F342" s="138"/>
      <c r="G342" s="138"/>
      <c r="H342" s="138"/>
      <c r="I342" s="138"/>
      <c r="J342" s="138"/>
      <c r="K342" s="138"/>
      <c r="L342" s="138"/>
      <c r="M342" s="138"/>
      <c r="N342" s="138"/>
      <c r="O342" s="25"/>
    </row>
    <row r="343">
      <c r="A343" s="138"/>
      <c r="B343" s="25"/>
      <c r="C343" s="25"/>
      <c r="D343" s="138"/>
      <c r="E343" s="138"/>
      <c r="F343" s="138"/>
      <c r="G343" s="138"/>
      <c r="H343" s="138"/>
      <c r="I343" s="138"/>
      <c r="J343" s="138"/>
      <c r="K343" s="138"/>
      <c r="L343" s="138"/>
      <c r="M343" s="138"/>
      <c r="N343" s="138"/>
      <c r="O343" s="25"/>
    </row>
    <row r="344">
      <c r="A344" s="138"/>
      <c r="B344" s="25"/>
      <c r="C344" s="25"/>
      <c r="D344" s="138"/>
      <c r="E344" s="138"/>
      <c r="F344" s="138"/>
      <c r="G344" s="138"/>
      <c r="H344" s="138"/>
      <c r="I344" s="138"/>
      <c r="J344" s="138"/>
      <c r="K344" s="138"/>
      <c r="L344" s="138"/>
      <c r="M344" s="138"/>
      <c r="N344" s="138"/>
      <c r="O344" s="25"/>
    </row>
    <row r="345">
      <c r="A345" s="138"/>
      <c r="B345" s="25"/>
      <c r="C345" s="25"/>
      <c r="D345" s="138"/>
      <c r="E345" s="138"/>
      <c r="F345" s="138"/>
      <c r="G345" s="138"/>
      <c r="H345" s="138"/>
      <c r="I345" s="138"/>
      <c r="J345" s="138"/>
      <c r="K345" s="138"/>
      <c r="L345" s="138"/>
      <c r="M345" s="138"/>
      <c r="N345" s="138"/>
      <c r="O345" s="25"/>
    </row>
    <row r="346">
      <c r="A346" s="138"/>
      <c r="B346" s="25"/>
      <c r="C346" s="25"/>
      <c r="D346" s="138"/>
      <c r="E346" s="138"/>
      <c r="F346" s="138"/>
      <c r="G346" s="138"/>
      <c r="H346" s="138"/>
      <c r="I346" s="138"/>
      <c r="J346" s="138"/>
      <c r="K346" s="138"/>
      <c r="L346" s="138"/>
      <c r="M346" s="138"/>
      <c r="N346" s="138"/>
      <c r="O346" s="25"/>
    </row>
    <row r="347">
      <c r="A347" s="138"/>
      <c r="B347" s="25"/>
      <c r="C347" s="25"/>
      <c r="D347" s="138"/>
      <c r="E347" s="138"/>
      <c r="F347" s="138"/>
      <c r="G347" s="138"/>
      <c r="H347" s="138"/>
      <c r="I347" s="138"/>
      <c r="J347" s="138"/>
      <c r="K347" s="138"/>
      <c r="L347" s="138"/>
      <c r="M347" s="138"/>
      <c r="N347" s="138"/>
      <c r="O347" s="25"/>
    </row>
    <row r="348">
      <c r="A348" s="138"/>
      <c r="B348" s="25"/>
      <c r="C348" s="25"/>
      <c r="D348" s="138"/>
      <c r="E348" s="138"/>
      <c r="F348" s="138"/>
      <c r="G348" s="138"/>
      <c r="H348" s="138"/>
      <c r="I348" s="138"/>
      <c r="J348" s="138"/>
      <c r="K348" s="138"/>
      <c r="L348" s="138"/>
      <c r="M348" s="138"/>
      <c r="N348" s="138"/>
      <c r="O348" s="25"/>
    </row>
    <row r="349">
      <c r="A349" s="138"/>
      <c r="B349" s="25"/>
      <c r="C349" s="25"/>
      <c r="D349" s="138"/>
      <c r="E349" s="138"/>
      <c r="F349" s="138"/>
      <c r="G349" s="138"/>
      <c r="H349" s="138"/>
      <c r="I349" s="138"/>
      <c r="J349" s="138"/>
      <c r="K349" s="138"/>
      <c r="L349" s="138"/>
      <c r="M349" s="138"/>
      <c r="N349" s="138"/>
      <c r="O349" s="25"/>
    </row>
    <row r="350">
      <c r="A350" s="138"/>
      <c r="B350" s="25"/>
      <c r="C350" s="25"/>
      <c r="D350" s="138"/>
      <c r="E350" s="138"/>
      <c r="F350" s="138"/>
      <c r="G350" s="138"/>
      <c r="H350" s="138"/>
      <c r="I350" s="138"/>
      <c r="J350" s="138"/>
      <c r="K350" s="138"/>
      <c r="L350" s="138"/>
      <c r="M350" s="138"/>
      <c r="N350" s="138"/>
      <c r="O350" s="25"/>
    </row>
    <row r="351">
      <c r="A351" s="138"/>
      <c r="B351" s="25"/>
      <c r="C351" s="25"/>
      <c r="D351" s="138"/>
      <c r="E351" s="138"/>
      <c r="F351" s="138"/>
      <c r="G351" s="138"/>
      <c r="H351" s="138"/>
      <c r="I351" s="138"/>
      <c r="J351" s="138"/>
      <c r="K351" s="138"/>
      <c r="L351" s="138"/>
      <c r="M351" s="138"/>
      <c r="N351" s="138"/>
      <c r="O351" s="25"/>
    </row>
    <row r="352">
      <c r="A352" s="138"/>
      <c r="B352" s="25"/>
      <c r="C352" s="25"/>
      <c r="D352" s="138"/>
      <c r="E352" s="138"/>
      <c r="F352" s="138"/>
      <c r="G352" s="138"/>
      <c r="H352" s="138"/>
      <c r="I352" s="138"/>
      <c r="J352" s="138"/>
      <c r="K352" s="138"/>
      <c r="L352" s="138"/>
      <c r="M352" s="138"/>
      <c r="N352" s="138"/>
      <c r="O352" s="25"/>
    </row>
    <row r="353">
      <c r="A353" s="138"/>
      <c r="B353" s="25"/>
      <c r="C353" s="25"/>
      <c r="D353" s="138"/>
      <c r="E353" s="138"/>
      <c r="F353" s="138"/>
      <c r="G353" s="138"/>
      <c r="H353" s="138"/>
      <c r="I353" s="138"/>
      <c r="J353" s="138"/>
      <c r="K353" s="138"/>
      <c r="L353" s="138"/>
      <c r="M353" s="138"/>
      <c r="N353" s="138"/>
      <c r="O353" s="25"/>
    </row>
    <row r="354">
      <c r="A354" s="138"/>
      <c r="B354" s="25"/>
      <c r="C354" s="25"/>
      <c r="D354" s="138"/>
      <c r="E354" s="138"/>
      <c r="F354" s="138"/>
      <c r="G354" s="138"/>
      <c r="H354" s="138"/>
      <c r="I354" s="138"/>
      <c r="J354" s="138"/>
      <c r="K354" s="138"/>
      <c r="L354" s="138"/>
      <c r="M354" s="138"/>
      <c r="N354" s="138"/>
      <c r="O354" s="25"/>
    </row>
    <row r="355">
      <c r="A355" s="138"/>
      <c r="B355" s="25"/>
      <c r="C355" s="25"/>
      <c r="D355" s="138"/>
      <c r="E355" s="138"/>
      <c r="F355" s="138"/>
      <c r="G355" s="138"/>
      <c r="H355" s="138"/>
      <c r="I355" s="138"/>
      <c r="J355" s="138"/>
      <c r="K355" s="138"/>
      <c r="L355" s="138"/>
      <c r="M355" s="138"/>
      <c r="N355" s="138"/>
      <c r="O355" s="25"/>
    </row>
    <row r="356">
      <c r="A356" s="138"/>
      <c r="B356" s="25"/>
      <c r="C356" s="25"/>
      <c r="D356" s="138"/>
      <c r="E356" s="138"/>
      <c r="F356" s="138"/>
      <c r="G356" s="138"/>
      <c r="H356" s="138"/>
      <c r="I356" s="138"/>
      <c r="J356" s="138"/>
      <c r="K356" s="138"/>
      <c r="L356" s="138"/>
      <c r="M356" s="138"/>
      <c r="N356" s="138"/>
      <c r="O356" s="25"/>
    </row>
    <row r="357">
      <c r="A357" s="138"/>
      <c r="B357" s="25"/>
      <c r="C357" s="25"/>
      <c r="D357" s="138"/>
      <c r="E357" s="138"/>
      <c r="F357" s="138"/>
      <c r="G357" s="138"/>
      <c r="H357" s="138"/>
      <c r="I357" s="138"/>
      <c r="J357" s="138"/>
      <c r="K357" s="138"/>
      <c r="L357" s="138"/>
      <c r="M357" s="138"/>
      <c r="N357" s="138"/>
      <c r="O357" s="25"/>
    </row>
    <row r="358">
      <c r="A358" s="138"/>
      <c r="B358" s="25"/>
      <c r="C358" s="25"/>
      <c r="D358" s="138"/>
      <c r="E358" s="138"/>
      <c r="F358" s="138"/>
      <c r="G358" s="138"/>
      <c r="H358" s="138"/>
      <c r="I358" s="138"/>
      <c r="J358" s="138"/>
      <c r="K358" s="138"/>
      <c r="L358" s="138"/>
      <c r="M358" s="138"/>
      <c r="N358" s="138"/>
      <c r="O358" s="25"/>
    </row>
    <row r="359">
      <c r="A359" s="138"/>
      <c r="B359" s="25"/>
      <c r="C359" s="25"/>
      <c r="D359" s="138"/>
      <c r="E359" s="138"/>
      <c r="F359" s="138"/>
      <c r="G359" s="138"/>
      <c r="H359" s="138"/>
      <c r="I359" s="138"/>
      <c r="J359" s="138"/>
      <c r="K359" s="138"/>
      <c r="L359" s="138"/>
      <c r="M359" s="138"/>
      <c r="N359" s="138"/>
      <c r="O359" s="25"/>
    </row>
    <row r="360">
      <c r="A360" s="138"/>
      <c r="B360" s="25"/>
      <c r="C360" s="25"/>
      <c r="D360" s="138"/>
      <c r="E360" s="138"/>
      <c r="F360" s="138"/>
      <c r="G360" s="138"/>
      <c r="H360" s="138"/>
      <c r="I360" s="138"/>
      <c r="J360" s="138"/>
      <c r="K360" s="138"/>
      <c r="L360" s="138"/>
      <c r="M360" s="138"/>
      <c r="N360" s="138"/>
      <c r="O360" s="25"/>
    </row>
    <row r="361">
      <c r="A361" s="138"/>
      <c r="B361" s="25"/>
      <c r="C361" s="25"/>
      <c r="D361" s="138"/>
      <c r="E361" s="138"/>
      <c r="F361" s="138"/>
      <c r="G361" s="138"/>
      <c r="H361" s="138"/>
      <c r="I361" s="138"/>
      <c r="J361" s="138"/>
      <c r="K361" s="138"/>
      <c r="L361" s="138"/>
      <c r="M361" s="138"/>
      <c r="N361" s="138"/>
      <c r="O361" s="25"/>
    </row>
    <row r="362">
      <c r="A362" s="138"/>
      <c r="B362" s="25"/>
      <c r="C362" s="25"/>
      <c r="D362" s="138"/>
      <c r="E362" s="138"/>
      <c r="F362" s="138"/>
      <c r="G362" s="138"/>
      <c r="H362" s="138"/>
      <c r="I362" s="138"/>
      <c r="J362" s="138"/>
      <c r="K362" s="138"/>
      <c r="L362" s="138"/>
      <c r="M362" s="138"/>
      <c r="N362" s="138"/>
      <c r="O362" s="25"/>
    </row>
    <row r="363">
      <c r="A363" s="138"/>
      <c r="B363" s="25"/>
      <c r="C363" s="25"/>
      <c r="D363" s="138"/>
      <c r="E363" s="138"/>
      <c r="F363" s="138"/>
      <c r="G363" s="138"/>
      <c r="H363" s="138"/>
      <c r="I363" s="138"/>
      <c r="J363" s="138"/>
      <c r="K363" s="138"/>
      <c r="L363" s="138"/>
      <c r="M363" s="138"/>
      <c r="N363" s="138"/>
      <c r="O363" s="25"/>
    </row>
    <row r="364">
      <c r="A364" s="138"/>
      <c r="B364" s="25"/>
      <c r="C364" s="25"/>
      <c r="D364" s="138"/>
      <c r="E364" s="138"/>
      <c r="F364" s="138"/>
      <c r="G364" s="138"/>
      <c r="H364" s="138"/>
      <c r="I364" s="138"/>
      <c r="J364" s="138"/>
      <c r="K364" s="138"/>
      <c r="L364" s="138"/>
      <c r="M364" s="138"/>
      <c r="N364" s="138"/>
      <c r="O364" s="25"/>
    </row>
    <row r="365">
      <c r="A365" s="138"/>
      <c r="B365" s="25"/>
      <c r="C365" s="25"/>
      <c r="D365" s="138"/>
      <c r="E365" s="138"/>
      <c r="F365" s="138"/>
      <c r="G365" s="138"/>
      <c r="H365" s="138"/>
      <c r="I365" s="138"/>
      <c r="J365" s="138"/>
      <c r="K365" s="138"/>
      <c r="L365" s="138"/>
      <c r="M365" s="138"/>
      <c r="N365" s="138"/>
      <c r="O365" s="25"/>
    </row>
    <row r="366">
      <c r="A366" s="138"/>
      <c r="B366" s="25"/>
      <c r="C366" s="25"/>
      <c r="D366" s="138"/>
      <c r="E366" s="138"/>
      <c r="F366" s="138"/>
      <c r="G366" s="138"/>
      <c r="H366" s="138"/>
      <c r="I366" s="138"/>
      <c r="J366" s="138"/>
      <c r="K366" s="138"/>
      <c r="L366" s="138"/>
      <c r="M366" s="138"/>
      <c r="N366" s="138"/>
      <c r="O366" s="25"/>
    </row>
    <row r="367">
      <c r="A367" s="138"/>
      <c r="B367" s="25"/>
      <c r="C367" s="25"/>
      <c r="D367" s="138"/>
      <c r="E367" s="138"/>
      <c r="F367" s="138"/>
      <c r="G367" s="138"/>
      <c r="H367" s="138"/>
      <c r="I367" s="138"/>
      <c r="J367" s="138"/>
      <c r="K367" s="138"/>
      <c r="L367" s="138"/>
      <c r="M367" s="138"/>
      <c r="N367" s="138"/>
      <c r="O367" s="25"/>
    </row>
    <row r="368">
      <c r="A368" s="138"/>
      <c r="B368" s="25"/>
      <c r="C368" s="25"/>
      <c r="D368" s="138"/>
      <c r="E368" s="138"/>
      <c r="F368" s="138"/>
      <c r="G368" s="138"/>
      <c r="H368" s="138"/>
      <c r="I368" s="138"/>
      <c r="J368" s="138"/>
      <c r="K368" s="138"/>
      <c r="L368" s="138"/>
      <c r="M368" s="138"/>
      <c r="N368" s="138"/>
      <c r="O368" s="25"/>
    </row>
    <row r="369">
      <c r="A369" s="138"/>
      <c r="B369" s="25"/>
      <c r="C369" s="25"/>
      <c r="D369" s="138"/>
      <c r="E369" s="138"/>
      <c r="F369" s="138"/>
      <c r="G369" s="138"/>
      <c r="H369" s="138"/>
      <c r="I369" s="138"/>
      <c r="J369" s="138"/>
      <c r="K369" s="138"/>
      <c r="L369" s="138"/>
      <c r="M369" s="138"/>
      <c r="N369" s="138"/>
      <c r="O369" s="25"/>
    </row>
    <row r="370">
      <c r="A370" s="138"/>
      <c r="B370" s="25"/>
      <c r="C370" s="25"/>
      <c r="D370" s="138"/>
      <c r="E370" s="138"/>
      <c r="F370" s="138"/>
      <c r="G370" s="138"/>
      <c r="H370" s="138"/>
      <c r="I370" s="138"/>
      <c r="J370" s="138"/>
      <c r="K370" s="138"/>
      <c r="L370" s="138"/>
      <c r="M370" s="138"/>
      <c r="N370" s="138"/>
      <c r="O370" s="25"/>
    </row>
    <row r="371">
      <c r="A371" s="138"/>
      <c r="B371" s="25"/>
      <c r="C371" s="25"/>
      <c r="D371" s="138"/>
      <c r="E371" s="138"/>
      <c r="F371" s="138"/>
      <c r="G371" s="138"/>
      <c r="H371" s="138"/>
      <c r="I371" s="138"/>
      <c r="J371" s="138"/>
      <c r="K371" s="138"/>
      <c r="L371" s="138"/>
      <c r="M371" s="138"/>
      <c r="N371" s="138"/>
      <c r="O371" s="25"/>
    </row>
    <row r="372">
      <c r="A372" s="138"/>
      <c r="B372" s="25"/>
      <c r="C372" s="25"/>
      <c r="D372" s="138"/>
      <c r="E372" s="138"/>
      <c r="F372" s="138"/>
      <c r="G372" s="138"/>
      <c r="H372" s="138"/>
      <c r="I372" s="138"/>
      <c r="J372" s="138"/>
      <c r="K372" s="138"/>
      <c r="L372" s="138"/>
      <c r="M372" s="138"/>
      <c r="N372" s="138"/>
      <c r="O372" s="25"/>
    </row>
    <row r="373">
      <c r="A373" s="138"/>
      <c r="B373" s="25"/>
      <c r="C373" s="25"/>
      <c r="D373" s="138"/>
      <c r="E373" s="138"/>
      <c r="F373" s="138"/>
      <c r="G373" s="138"/>
      <c r="H373" s="138"/>
      <c r="I373" s="138"/>
      <c r="J373" s="138"/>
      <c r="K373" s="138"/>
      <c r="L373" s="138"/>
      <c r="M373" s="138"/>
      <c r="N373" s="138"/>
      <c r="O373" s="25"/>
    </row>
    <row r="374">
      <c r="A374" s="138"/>
      <c r="B374" s="25"/>
      <c r="C374" s="25"/>
      <c r="D374" s="138"/>
      <c r="E374" s="138"/>
      <c r="F374" s="138"/>
      <c r="G374" s="138"/>
      <c r="H374" s="138"/>
      <c r="I374" s="138"/>
      <c r="J374" s="138"/>
      <c r="K374" s="138"/>
      <c r="L374" s="138"/>
      <c r="M374" s="138"/>
      <c r="N374" s="138"/>
      <c r="O374" s="25"/>
    </row>
    <row r="375">
      <c r="A375" s="138"/>
      <c r="B375" s="25"/>
      <c r="C375" s="25"/>
      <c r="D375" s="138"/>
      <c r="E375" s="138"/>
      <c r="F375" s="138"/>
      <c r="G375" s="138"/>
      <c r="H375" s="138"/>
      <c r="I375" s="138"/>
      <c r="J375" s="138"/>
      <c r="K375" s="138"/>
      <c r="L375" s="138"/>
      <c r="M375" s="138"/>
      <c r="N375" s="138"/>
      <c r="O375" s="25"/>
    </row>
    <row r="376">
      <c r="A376" s="138"/>
      <c r="B376" s="25"/>
      <c r="C376" s="25"/>
      <c r="D376" s="138"/>
      <c r="E376" s="138"/>
      <c r="F376" s="138"/>
      <c r="G376" s="138"/>
      <c r="H376" s="138"/>
      <c r="I376" s="138"/>
      <c r="J376" s="138"/>
      <c r="K376" s="138"/>
      <c r="L376" s="138"/>
      <c r="M376" s="138"/>
      <c r="N376" s="138"/>
      <c r="O376" s="25"/>
    </row>
    <row r="377">
      <c r="A377" s="138"/>
      <c r="B377" s="25"/>
      <c r="C377" s="25"/>
      <c r="D377" s="138"/>
      <c r="E377" s="138"/>
      <c r="F377" s="138"/>
      <c r="G377" s="138"/>
      <c r="H377" s="138"/>
      <c r="I377" s="138"/>
      <c r="J377" s="138"/>
      <c r="K377" s="138"/>
      <c r="L377" s="138"/>
      <c r="M377" s="138"/>
      <c r="N377" s="138"/>
      <c r="O377" s="25"/>
    </row>
    <row r="378">
      <c r="A378" s="138"/>
      <c r="B378" s="25"/>
      <c r="C378" s="25"/>
      <c r="D378" s="138"/>
      <c r="E378" s="138"/>
      <c r="F378" s="138"/>
      <c r="G378" s="138"/>
      <c r="H378" s="138"/>
      <c r="I378" s="138"/>
      <c r="J378" s="138"/>
      <c r="K378" s="138"/>
      <c r="L378" s="138"/>
      <c r="M378" s="138"/>
      <c r="N378" s="138"/>
      <c r="O378" s="25"/>
    </row>
    <row r="379">
      <c r="A379" s="138"/>
      <c r="B379" s="25"/>
      <c r="C379" s="25"/>
      <c r="D379" s="138"/>
      <c r="E379" s="138"/>
      <c r="F379" s="138"/>
      <c r="G379" s="138"/>
      <c r="H379" s="138"/>
      <c r="I379" s="138"/>
      <c r="J379" s="138"/>
      <c r="K379" s="138"/>
      <c r="L379" s="138"/>
      <c r="M379" s="138"/>
      <c r="N379" s="138"/>
      <c r="O379" s="25"/>
    </row>
    <row r="380">
      <c r="A380" s="138"/>
      <c r="B380" s="25"/>
      <c r="C380" s="25"/>
      <c r="D380" s="138"/>
      <c r="E380" s="138"/>
      <c r="F380" s="138"/>
      <c r="G380" s="138"/>
      <c r="H380" s="138"/>
      <c r="I380" s="138"/>
      <c r="J380" s="138"/>
      <c r="K380" s="138"/>
      <c r="L380" s="138"/>
      <c r="M380" s="138"/>
      <c r="N380" s="138"/>
      <c r="O380" s="25"/>
    </row>
    <row r="381">
      <c r="A381" s="138"/>
      <c r="B381" s="25"/>
      <c r="C381" s="25"/>
      <c r="D381" s="138"/>
      <c r="E381" s="138"/>
      <c r="F381" s="138"/>
      <c r="G381" s="138"/>
      <c r="H381" s="138"/>
      <c r="I381" s="138"/>
      <c r="J381" s="138"/>
      <c r="K381" s="138"/>
      <c r="L381" s="138"/>
      <c r="M381" s="138"/>
      <c r="N381" s="138"/>
      <c r="O381" s="25"/>
    </row>
    <row r="382">
      <c r="A382" s="138"/>
      <c r="B382" s="25"/>
      <c r="C382" s="25"/>
      <c r="D382" s="138"/>
      <c r="E382" s="138"/>
      <c r="F382" s="138"/>
      <c r="G382" s="138"/>
      <c r="H382" s="138"/>
      <c r="I382" s="138"/>
      <c r="J382" s="138"/>
      <c r="K382" s="138"/>
      <c r="L382" s="138"/>
      <c r="M382" s="138"/>
      <c r="N382" s="138"/>
      <c r="O382" s="25"/>
    </row>
    <row r="383">
      <c r="A383" s="138"/>
      <c r="B383" s="25"/>
      <c r="C383" s="25"/>
      <c r="D383" s="138"/>
      <c r="E383" s="138"/>
      <c r="F383" s="138"/>
      <c r="G383" s="138"/>
      <c r="H383" s="138"/>
      <c r="I383" s="138"/>
      <c r="J383" s="138"/>
      <c r="K383" s="138"/>
      <c r="L383" s="138"/>
      <c r="M383" s="138"/>
      <c r="N383" s="138"/>
      <c r="O383" s="25"/>
    </row>
    <row r="384">
      <c r="A384" s="138"/>
      <c r="B384" s="25"/>
      <c r="C384" s="25"/>
      <c r="D384" s="138"/>
      <c r="E384" s="138"/>
      <c r="F384" s="138"/>
      <c r="G384" s="138"/>
      <c r="H384" s="138"/>
      <c r="I384" s="138"/>
      <c r="J384" s="138"/>
      <c r="K384" s="138"/>
      <c r="L384" s="138"/>
      <c r="M384" s="138"/>
      <c r="N384" s="138"/>
      <c r="O384" s="25"/>
    </row>
    <row r="385">
      <c r="A385" s="138"/>
      <c r="B385" s="25"/>
      <c r="C385" s="25"/>
      <c r="D385" s="138"/>
      <c r="E385" s="138"/>
      <c r="F385" s="138"/>
      <c r="G385" s="138"/>
      <c r="H385" s="138"/>
      <c r="I385" s="138"/>
      <c r="J385" s="138"/>
      <c r="K385" s="138"/>
      <c r="L385" s="138"/>
      <c r="M385" s="138"/>
      <c r="N385" s="138"/>
      <c r="O385" s="25"/>
    </row>
    <row r="386">
      <c r="A386" s="138"/>
      <c r="B386" s="25"/>
      <c r="C386" s="25"/>
      <c r="D386" s="138"/>
      <c r="E386" s="138"/>
      <c r="F386" s="138"/>
      <c r="G386" s="138"/>
      <c r="H386" s="138"/>
      <c r="I386" s="138"/>
      <c r="J386" s="138"/>
      <c r="K386" s="138"/>
      <c r="L386" s="138"/>
      <c r="M386" s="138"/>
      <c r="N386" s="138"/>
      <c r="O386" s="25"/>
    </row>
    <row r="387">
      <c r="A387" s="138"/>
      <c r="B387" s="25"/>
      <c r="C387" s="25"/>
      <c r="D387" s="138"/>
      <c r="E387" s="138"/>
      <c r="F387" s="138"/>
      <c r="G387" s="138"/>
      <c r="H387" s="138"/>
      <c r="I387" s="138"/>
      <c r="J387" s="138"/>
      <c r="K387" s="138"/>
      <c r="L387" s="138"/>
      <c r="M387" s="138"/>
      <c r="N387" s="138"/>
      <c r="O387" s="25"/>
    </row>
    <row r="388">
      <c r="A388" s="138"/>
      <c r="B388" s="25"/>
      <c r="C388" s="25"/>
      <c r="D388" s="138"/>
      <c r="E388" s="138"/>
      <c r="F388" s="138"/>
      <c r="G388" s="138"/>
      <c r="H388" s="138"/>
      <c r="I388" s="138"/>
      <c r="J388" s="138"/>
      <c r="K388" s="138"/>
      <c r="L388" s="138"/>
      <c r="M388" s="138"/>
      <c r="N388" s="138"/>
      <c r="O388" s="25"/>
    </row>
    <row r="389">
      <c r="A389" s="138"/>
      <c r="B389" s="25"/>
      <c r="C389" s="25"/>
      <c r="D389" s="138"/>
      <c r="E389" s="138"/>
      <c r="F389" s="138"/>
      <c r="G389" s="138"/>
      <c r="H389" s="138"/>
      <c r="I389" s="138"/>
      <c r="J389" s="138"/>
      <c r="K389" s="138"/>
      <c r="L389" s="138"/>
      <c r="M389" s="138"/>
      <c r="N389" s="138"/>
      <c r="O389" s="25"/>
    </row>
    <row r="390">
      <c r="A390" s="138"/>
      <c r="B390" s="25"/>
      <c r="C390" s="25"/>
      <c r="D390" s="138"/>
      <c r="E390" s="138"/>
      <c r="F390" s="138"/>
      <c r="G390" s="138"/>
      <c r="H390" s="138"/>
      <c r="I390" s="138"/>
      <c r="J390" s="138"/>
      <c r="K390" s="138"/>
      <c r="L390" s="138"/>
      <c r="M390" s="138"/>
      <c r="N390" s="138"/>
      <c r="O390" s="25"/>
    </row>
    <row r="391">
      <c r="A391" s="138"/>
      <c r="B391" s="25"/>
      <c r="C391" s="25"/>
      <c r="D391" s="138"/>
      <c r="E391" s="138"/>
      <c r="F391" s="138"/>
      <c r="G391" s="138"/>
      <c r="H391" s="138"/>
      <c r="I391" s="138"/>
      <c r="J391" s="138"/>
      <c r="K391" s="138"/>
      <c r="L391" s="138"/>
      <c r="M391" s="138"/>
      <c r="N391" s="138"/>
      <c r="O391" s="25"/>
    </row>
    <row r="392">
      <c r="A392" s="138"/>
      <c r="B392" s="25"/>
      <c r="C392" s="25"/>
      <c r="D392" s="138"/>
      <c r="E392" s="138"/>
      <c r="F392" s="138"/>
      <c r="G392" s="138"/>
      <c r="H392" s="138"/>
      <c r="I392" s="138"/>
      <c r="J392" s="138"/>
      <c r="K392" s="138"/>
      <c r="L392" s="138"/>
      <c r="M392" s="138"/>
      <c r="N392" s="138"/>
      <c r="O392" s="25"/>
    </row>
    <row r="393">
      <c r="A393" s="138"/>
      <c r="B393" s="25"/>
      <c r="C393" s="25"/>
      <c r="D393" s="138"/>
      <c r="E393" s="138"/>
      <c r="F393" s="138"/>
      <c r="G393" s="138"/>
      <c r="H393" s="138"/>
      <c r="I393" s="138"/>
      <c r="J393" s="138"/>
      <c r="K393" s="138"/>
      <c r="L393" s="138"/>
      <c r="M393" s="138"/>
      <c r="N393" s="138"/>
      <c r="O393" s="25"/>
    </row>
    <row r="394">
      <c r="A394" s="138"/>
      <c r="B394" s="25"/>
      <c r="C394" s="25"/>
      <c r="D394" s="138"/>
      <c r="E394" s="138"/>
      <c r="F394" s="138"/>
      <c r="G394" s="138"/>
      <c r="H394" s="138"/>
      <c r="I394" s="138"/>
      <c r="J394" s="138"/>
      <c r="K394" s="138"/>
      <c r="L394" s="138"/>
      <c r="M394" s="138"/>
      <c r="N394" s="138"/>
      <c r="O394" s="25"/>
    </row>
    <row r="395">
      <c r="A395" s="138"/>
      <c r="B395" s="25"/>
      <c r="C395" s="25"/>
      <c r="D395" s="138"/>
      <c r="E395" s="138"/>
      <c r="F395" s="138"/>
      <c r="G395" s="138"/>
      <c r="H395" s="138"/>
      <c r="I395" s="138"/>
      <c r="J395" s="138"/>
      <c r="K395" s="138"/>
      <c r="L395" s="138"/>
      <c r="M395" s="138"/>
      <c r="N395" s="138"/>
      <c r="O395" s="25"/>
    </row>
    <row r="396">
      <c r="A396" s="138"/>
      <c r="B396" s="25"/>
      <c r="C396" s="25"/>
      <c r="D396" s="138"/>
      <c r="E396" s="138"/>
      <c r="F396" s="138"/>
      <c r="G396" s="138"/>
      <c r="H396" s="138"/>
      <c r="I396" s="138"/>
      <c r="J396" s="138"/>
      <c r="K396" s="138"/>
      <c r="L396" s="138"/>
      <c r="M396" s="138"/>
      <c r="N396" s="138"/>
      <c r="O396" s="25"/>
    </row>
    <row r="397">
      <c r="A397" s="138"/>
      <c r="B397" s="25"/>
      <c r="C397" s="25"/>
      <c r="D397" s="138"/>
      <c r="E397" s="138"/>
      <c r="F397" s="138"/>
      <c r="G397" s="138"/>
      <c r="H397" s="138"/>
      <c r="I397" s="138"/>
      <c r="J397" s="138"/>
      <c r="K397" s="138"/>
      <c r="L397" s="138"/>
      <c r="M397" s="138"/>
      <c r="N397" s="138"/>
      <c r="O397" s="25"/>
    </row>
    <row r="398">
      <c r="A398" s="138"/>
      <c r="B398" s="25"/>
      <c r="C398" s="25"/>
      <c r="D398" s="138"/>
      <c r="E398" s="138"/>
      <c r="F398" s="138"/>
      <c r="G398" s="138"/>
      <c r="H398" s="138"/>
      <c r="I398" s="138"/>
      <c r="J398" s="138"/>
      <c r="K398" s="138"/>
      <c r="L398" s="138"/>
      <c r="M398" s="138"/>
      <c r="N398" s="138"/>
      <c r="O398" s="25"/>
    </row>
    <row r="399">
      <c r="A399" s="138"/>
      <c r="B399" s="25"/>
      <c r="C399" s="25"/>
      <c r="D399" s="138"/>
      <c r="E399" s="138"/>
      <c r="F399" s="138"/>
      <c r="G399" s="138"/>
      <c r="H399" s="138"/>
      <c r="I399" s="138"/>
      <c r="J399" s="138"/>
      <c r="K399" s="138"/>
      <c r="L399" s="138"/>
      <c r="M399" s="138"/>
      <c r="N399" s="138"/>
      <c r="O399" s="25"/>
    </row>
    <row r="400">
      <c r="A400" s="138"/>
      <c r="B400" s="25"/>
      <c r="C400" s="25"/>
      <c r="D400" s="138"/>
      <c r="E400" s="138"/>
      <c r="F400" s="138"/>
      <c r="G400" s="138"/>
      <c r="H400" s="138"/>
      <c r="I400" s="138"/>
      <c r="J400" s="138"/>
      <c r="K400" s="138"/>
      <c r="L400" s="138"/>
      <c r="M400" s="138"/>
      <c r="N400" s="138"/>
      <c r="O400" s="25"/>
    </row>
    <row r="401">
      <c r="A401" s="138"/>
      <c r="B401" s="25"/>
      <c r="C401" s="25"/>
      <c r="D401" s="138"/>
      <c r="E401" s="138"/>
      <c r="F401" s="138"/>
      <c r="G401" s="138"/>
      <c r="H401" s="138"/>
      <c r="I401" s="138"/>
      <c r="J401" s="138"/>
      <c r="K401" s="138"/>
      <c r="L401" s="138"/>
      <c r="M401" s="138"/>
      <c r="N401" s="138"/>
      <c r="O401" s="25"/>
    </row>
    <row r="402">
      <c r="A402" s="138"/>
      <c r="B402" s="25"/>
      <c r="C402" s="25"/>
      <c r="D402" s="138"/>
      <c r="E402" s="138"/>
      <c r="F402" s="138"/>
      <c r="G402" s="138"/>
      <c r="H402" s="138"/>
      <c r="I402" s="138"/>
      <c r="J402" s="138"/>
      <c r="K402" s="138"/>
      <c r="L402" s="138"/>
      <c r="M402" s="138"/>
      <c r="N402" s="138"/>
      <c r="O402" s="25"/>
    </row>
    <row r="403">
      <c r="A403" s="138"/>
      <c r="B403" s="25"/>
      <c r="C403" s="25"/>
      <c r="D403" s="138"/>
      <c r="E403" s="138"/>
      <c r="F403" s="138"/>
      <c r="G403" s="138"/>
      <c r="H403" s="138"/>
      <c r="I403" s="138"/>
      <c r="J403" s="138"/>
      <c r="K403" s="138"/>
      <c r="L403" s="138"/>
      <c r="M403" s="138"/>
      <c r="N403" s="138"/>
      <c r="O403" s="25"/>
    </row>
    <row r="404">
      <c r="A404" s="138"/>
      <c r="B404" s="25"/>
      <c r="C404" s="25"/>
      <c r="D404" s="138"/>
      <c r="E404" s="138"/>
      <c r="F404" s="138"/>
      <c r="G404" s="138"/>
      <c r="H404" s="138"/>
      <c r="I404" s="138"/>
      <c r="J404" s="138"/>
      <c r="K404" s="138"/>
      <c r="L404" s="138"/>
      <c r="M404" s="138"/>
      <c r="N404" s="138"/>
      <c r="O404" s="25"/>
    </row>
    <row r="405">
      <c r="A405" s="138"/>
      <c r="B405" s="25"/>
      <c r="C405" s="25"/>
      <c r="D405" s="138"/>
      <c r="E405" s="138"/>
      <c r="F405" s="138"/>
      <c r="G405" s="138"/>
      <c r="H405" s="138"/>
      <c r="I405" s="138"/>
      <c r="J405" s="138"/>
      <c r="K405" s="138"/>
      <c r="L405" s="138"/>
      <c r="M405" s="138"/>
      <c r="N405" s="138"/>
      <c r="O405" s="25"/>
    </row>
    <row r="406">
      <c r="A406" s="138"/>
      <c r="B406" s="25"/>
      <c r="C406" s="25"/>
      <c r="D406" s="138"/>
      <c r="E406" s="138"/>
      <c r="F406" s="138"/>
      <c r="G406" s="138"/>
      <c r="H406" s="138"/>
      <c r="I406" s="138"/>
      <c r="J406" s="138"/>
      <c r="K406" s="138"/>
      <c r="L406" s="138"/>
      <c r="M406" s="138"/>
      <c r="N406" s="138"/>
      <c r="O406" s="25"/>
    </row>
    <row r="407">
      <c r="A407" s="138"/>
      <c r="B407" s="25"/>
      <c r="C407" s="25"/>
      <c r="D407" s="138"/>
      <c r="E407" s="138"/>
      <c r="F407" s="138"/>
      <c r="G407" s="138"/>
      <c r="H407" s="138"/>
      <c r="I407" s="138"/>
      <c r="J407" s="138"/>
      <c r="K407" s="138"/>
      <c r="L407" s="138"/>
      <c r="M407" s="138"/>
      <c r="N407" s="138"/>
      <c r="O407" s="25"/>
    </row>
    <row r="408">
      <c r="A408" s="138"/>
      <c r="B408" s="25"/>
      <c r="C408" s="25"/>
      <c r="D408" s="138"/>
      <c r="E408" s="138"/>
      <c r="F408" s="138"/>
      <c r="G408" s="138"/>
      <c r="H408" s="138"/>
      <c r="I408" s="138"/>
      <c r="J408" s="138"/>
      <c r="K408" s="138"/>
      <c r="L408" s="138"/>
      <c r="M408" s="138"/>
      <c r="N408" s="138"/>
      <c r="O408" s="25"/>
    </row>
    <row r="409">
      <c r="A409" s="138"/>
      <c r="B409" s="25"/>
      <c r="C409" s="25"/>
      <c r="D409" s="138"/>
      <c r="E409" s="138"/>
      <c r="F409" s="138"/>
      <c r="G409" s="138"/>
      <c r="H409" s="138"/>
      <c r="I409" s="138"/>
      <c r="J409" s="138"/>
      <c r="K409" s="138"/>
      <c r="L409" s="138"/>
      <c r="M409" s="138"/>
      <c r="N409" s="138"/>
      <c r="O409" s="25"/>
    </row>
    <row r="410">
      <c r="A410" s="138"/>
      <c r="B410" s="25"/>
      <c r="C410" s="25"/>
      <c r="D410" s="138"/>
      <c r="E410" s="138"/>
      <c r="F410" s="138"/>
      <c r="G410" s="138"/>
      <c r="H410" s="138"/>
      <c r="I410" s="138"/>
      <c r="J410" s="138"/>
      <c r="K410" s="138"/>
      <c r="L410" s="138"/>
      <c r="M410" s="138"/>
      <c r="N410" s="138"/>
      <c r="O410" s="25"/>
    </row>
    <row r="411">
      <c r="A411" s="138"/>
      <c r="B411" s="25"/>
      <c r="C411" s="25"/>
      <c r="D411" s="138"/>
      <c r="E411" s="138"/>
      <c r="F411" s="138"/>
      <c r="G411" s="138"/>
      <c r="H411" s="138"/>
      <c r="I411" s="138"/>
      <c r="J411" s="138"/>
      <c r="K411" s="138"/>
      <c r="L411" s="138"/>
      <c r="M411" s="138"/>
      <c r="N411" s="138"/>
      <c r="O411" s="25"/>
    </row>
    <row r="412">
      <c r="A412" s="138"/>
      <c r="B412" s="25"/>
      <c r="C412" s="25"/>
      <c r="D412" s="138"/>
      <c r="E412" s="138"/>
      <c r="F412" s="138"/>
      <c r="G412" s="138"/>
      <c r="H412" s="138"/>
      <c r="I412" s="138"/>
      <c r="J412" s="138"/>
      <c r="K412" s="138"/>
      <c r="L412" s="138"/>
      <c r="M412" s="138"/>
      <c r="N412" s="138"/>
      <c r="O412" s="25"/>
    </row>
    <row r="413">
      <c r="A413" s="138"/>
      <c r="B413" s="25"/>
      <c r="C413" s="25"/>
      <c r="D413" s="138"/>
      <c r="E413" s="138"/>
      <c r="F413" s="138"/>
      <c r="G413" s="138"/>
      <c r="H413" s="138"/>
      <c r="I413" s="138"/>
      <c r="J413" s="138"/>
      <c r="K413" s="138"/>
      <c r="L413" s="138"/>
      <c r="M413" s="138"/>
      <c r="N413" s="138"/>
      <c r="O413" s="25"/>
    </row>
    <row r="414">
      <c r="A414" s="138"/>
      <c r="B414" s="25"/>
      <c r="C414" s="25"/>
      <c r="D414" s="138"/>
      <c r="E414" s="138"/>
      <c r="F414" s="138"/>
      <c r="G414" s="138"/>
      <c r="H414" s="138"/>
      <c r="I414" s="138"/>
      <c r="J414" s="138"/>
      <c r="K414" s="138"/>
      <c r="L414" s="138"/>
      <c r="M414" s="138"/>
      <c r="N414" s="138"/>
      <c r="O414" s="25"/>
    </row>
    <row r="415">
      <c r="A415" s="138"/>
      <c r="B415" s="25"/>
      <c r="C415" s="25"/>
      <c r="D415" s="138"/>
      <c r="E415" s="138"/>
      <c r="F415" s="138"/>
      <c r="G415" s="138"/>
      <c r="H415" s="138"/>
      <c r="I415" s="138"/>
      <c r="J415" s="138"/>
      <c r="K415" s="138"/>
      <c r="L415" s="138"/>
      <c r="M415" s="138"/>
      <c r="N415" s="138"/>
      <c r="O415" s="25"/>
    </row>
    <row r="416">
      <c r="A416" s="138"/>
      <c r="B416" s="25"/>
      <c r="C416" s="25"/>
      <c r="D416" s="138"/>
      <c r="E416" s="138"/>
      <c r="F416" s="138"/>
      <c r="G416" s="138"/>
      <c r="H416" s="138"/>
      <c r="I416" s="138"/>
      <c r="J416" s="138"/>
      <c r="K416" s="138"/>
      <c r="L416" s="138"/>
      <c r="M416" s="138"/>
      <c r="N416" s="138"/>
      <c r="O416" s="25"/>
    </row>
    <row r="417">
      <c r="A417" s="138"/>
      <c r="B417" s="25"/>
      <c r="C417" s="25"/>
      <c r="D417" s="138"/>
      <c r="E417" s="138"/>
      <c r="F417" s="138"/>
      <c r="G417" s="138"/>
      <c r="H417" s="138"/>
      <c r="I417" s="138"/>
      <c r="J417" s="138"/>
      <c r="K417" s="138"/>
      <c r="L417" s="138"/>
      <c r="M417" s="138"/>
      <c r="N417" s="138"/>
      <c r="O417" s="25"/>
    </row>
    <row r="418">
      <c r="A418" s="138"/>
      <c r="B418" s="25"/>
      <c r="C418" s="25"/>
      <c r="D418" s="138"/>
      <c r="E418" s="138"/>
      <c r="F418" s="138"/>
      <c r="G418" s="138"/>
      <c r="H418" s="138"/>
      <c r="I418" s="138"/>
      <c r="J418" s="138"/>
      <c r="K418" s="138"/>
      <c r="L418" s="138"/>
      <c r="M418" s="138"/>
      <c r="N418" s="138"/>
      <c r="O418" s="25"/>
    </row>
    <row r="419">
      <c r="A419" s="138"/>
      <c r="B419" s="25"/>
      <c r="C419" s="25"/>
      <c r="D419" s="138"/>
      <c r="E419" s="138"/>
      <c r="F419" s="138"/>
      <c r="G419" s="138"/>
      <c r="H419" s="138"/>
      <c r="I419" s="138"/>
      <c r="J419" s="138"/>
      <c r="K419" s="138"/>
      <c r="L419" s="138"/>
      <c r="M419" s="138"/>
      <c r="N419" s="138"/>
      <c r="O419" s="25"/>
    </row>
    <row r="420">
      <c r="A420" s="138"/>
      <c r="B420" s="25"/>
      <c r="C420" s="25"/>
      <c r="D420" s="138"/>
      <c r="E420" s="138"/>
      <c r="F420" s="138"/>
      <c r="G420" s="138"/>
      <c r="H420" s="138"/>
      <c r="I420" s="138"/>
      <c r="J420" s="138"/>
      <c r="K420" s="138"/>
      <c r="L420" s="138"/>
      <c r="M420" s="138"/>
      <c r="N420" s="138"/>
      <c r="O420" s="25"/>
    </row>
    <row r="421">
      <c r="A421" s="138"/>
      <c r="B421" s="25"/>
      <c r="C421" s="25"/>
      <c r="D421" s="138"/>
      <c r="E421" s="138"/>
      <c r="F421" s="138"/>
      <c r="G421" s="138"/>
      <c r="H421" s="138"/>
      <c r="I421" s="138"/>
      <c r="J421" s="138"/>
      <c r="K421" s="138"/>
      <c r="L421" s="138"/>
      <c r="M421" s="138"/>
      <c r="N421" s="138"/>
      <c r="O421" s="25"/>
    </row>
    <row r="422">
      <c r="A422" s="138"/>
      <c r="B422" s="25"/>
      <c r="C422" s="25"/>
      <c r="D422" s="138"/>
      <c r="E422" s="138"/>
      <c r="F422" s="138"/>
      <c r="G422" s="138"/>
      <c r="H422" s="138"/>
      <c r="I422" s="138"/>
      <c r="J422" s="138"/>
      <c r="K422" s="138"/>
      <c r="L422" s="138"/>
      <c r="M422" s="138"/>
      <c r="N422" s="138"/>
      <c r="O422" s="25"/>
    </row>
    <row r="423">
      <c r="A423" s="138"/>
      <c r="B423" s="25"/>
      <c r="C423" s="25"/>
      <c r="D423" s="138"/>
      <c r="E423" s="138"/>
      <c r="F423" s="138"/>
      <c r="G423" s="138"/>
      <c r="H423" s="138"/>
      <c r="I423" s="138"/>
      <c r="J423" s="138"/>
      <c r="K423" s="138"/>
      <c r="L423" s="138"/>
      <c r="M423" s="138"/>
      <c r="N423" s="138"/>
      <c r="O423" s="25"/>
    </row>
    <row r="424">
      <c r="A424" s="138"/>
      <c r="B424" s="25"/>
      <c r="C424" s="25"/>
      <c r="D424" s="138"/>
      <c r="E424" s="138"/>
      <c r="F424" s="138"/>
      <c r="G424" s="138"/>
      <c r="H424" s="138"/>
      <c r="I424" s="138"/>
      <c r="J424" s="138"/>
      <c r="K424" s="138"/>
      <c r="L424" s="138"/>
      <c r="M424" s="138"/>
      <c r="N424" s="138"/>
      <c r="O424" s="25"/>
    </row>
    <row r="425">
      <c r="A425" s="138"/>
      <c r="B425" s="25"/>
      <c r="C425" s="25"/>
      <c r="D425" s="138"/>
      <c r="E425" s="138"/>
      <c r="F425" s="138"/>
      <c r="G425" s="138"/>
      <c r="H425" s="138"/>
      <c r="I425" s="138"/>
      <c r="J425" s="138"/>
      <c r="K425" s="138"/>
      <c r="L425" s="138"/>
      <c r="M425" s="138"/>
      <c r="N425" s="138"/>
      <c r="O425" s="25"/>
    </row>
    <row r="426">
      <c r="A426" s="138"/>
      <c r="B426" s="25"/>
      <c r="C426" s="25"/>
      <c r="D426" s="138"/>
      <c r="E426" s="138"/>
      <c r="F426" s="138"/>
      <c r="G426" s="138"/>
      <c r="H426" s="138"/>
      <c r="I426" s="138"/>
      <c r="J426" s="138"/>
      <c r="K426" s="138"/>
      <c r="L426" s="138"/>
      <c r="M426" s="138"/>
      <c r="N426" s="138"/>
      <c r="O426" s="25"/>
    </row>
    <row r="427">
      <c r="A427" s="138"/>
      <c r="B427" s="25"/>
      <c r="C427" s="25"/>
      <c r="D427" s="138"/>
      <c r="E427" s="138"/>
      <c r="F427" s="138"/>
      <c r="G427" s="138"/>
      <c r="H427" s="138"/>
      <c r="I427" s="138"/>
      <c r="J427" s="138"/>
      <c r="K427" s="138"/>
      <c r="L427" s="138"/>
      <c r="M427" s="138"/>
      <c r="N427" s="138"/>
      <c r="O427" s="25"/>
    </row>
    <row r="428">
      <c r="A428" s="138"/>
      <c r="B428" s="25"/>
      <c r="C428" s="25"/>
      <c r="D428" s="138"/>
      <c r="E428" s="138"/>
      <c r="F428" s="138"/>
      <c r="G428" s="138"/>
      <c r="H428" s="138"/>
      <c r="I428" s="138"/>
      <c r="J428" s="138"/>
      <c r="K428" s="138"/>
      <c r="L428" s="138"/>
      <c r="M428" s="138"/>
      <c r="N428" s="138"/>
      <c r="O428" s="25"/>
    </row>
    <row r="429">
      <c r="A429" s="138"/>
      <c r="B429" s="25"/>
      <c r="C429" s="25"/>
      <c r="D429" s="138"/>
      <c r="E429" s="138"/>
      <c r="F429" s="138"/>
      <c r="G429" s="138"/>
      <c r="H429" s="138"/>
      <c r="I429" s="138"/>
      <c r="J429" s="138"/>
      <c r="K429" s="138"/>
      <c r="L429" s="138"/>
      <c r="M429" s="138"/>
      <c r="N429" s="138"/>
      <c r="O429" s="25"/>
    </row>
    <row r="430">
      <c r="A430" s="138"/>
      <c r="B430" s="25"/>
      <c r="C430" s="25"/>
      <c r="D430" s="138"/>
      <c r="E430" s="138"/>
      <c r="F430" s="138"/>
      <c r="G430" s="138"/>
      <c r="H430" s="138"/>
      <c r="I430" s="138"/>
      <c r="J430" s="138"/>
      <c r="K430" s="138"/>
      <c r="L430" s="138"/>
      <c r="M430" s="138"/>
      <c r="N430" s="138"/>
      <c r="O430" s="25"/>
    </row>
    <row r="431">
      <c r="A431" s="138"/>
      <c r="B431" s="25"/>
      <c r="C431" s="25"/>
      <c r="D431" s="138"/>
      <c r="E431" s="138"/>
      <c r="F431" s="138"/>
      <c r="G431" s="138"/>
      <c r="H431" s="138"/>
      <c r="I431" s="138"/>
      <c r="J431" s="138"/>
      <c r="K431" s="138"/>
      <c r="L431" s="138"/>
      <c r="M431" s="138"/>
      <c r="N431" s="138"/>
      <c r="O431" s="25"/>
    </row>
    <row r="432">
      <c r="A432" s="138"/>
      <c r="B432" s="25"/>
      <c r="C432" s="25"/>
      <c r="D432" s="138"/>
      <c r="E432" s="138"/>
      <c r="F432" s="138"/>
      <c r="G432" s="138"/>
      <c r="H432" s="138"/>
      <c r="I432" s="138"/>
      <c r="J432" s="138"/>
      <c r="K432" s="138"/>
      <c r="L432" s="138"/>
      <c r="M432" s="138"/>
      <c r="N432" s="138"/>
      <c r="O432" s="25"/>
    </row>
    <row r="433">
      <c r="A433" s="138"/>
      <c r="B433" s="25"/>
      <c r="C433" s="25"/>
      <c r="D433" s="138"/>
      <c r="E433" s="138"/>
      <c r="F433" s="138"/>
      <c r="G433" s="138"/>
      <c r="H433" s="138"/>
      <c r="I433" s="138"/>
      <c r="J433" s="138"/>
      <c r="K433" s="138"/>
      <c r="L433" s="138"/>
      <c r="M433" s="138"/>
      <c r="N433" s="138"/>
      <c r="O433" s="25"/>
    </row>
    <row r="434">
      <c r="A434" s="138"/>
      <c r="B434" s="25"/>
      <c r="C434" s="25"/>
      <c r="D434" s="138"/>
      <c r="E434" s="138"/>
      <c r="F434" s="138"/>
      <c r="G434" s="138"/>
      <c r="H434" s="138"/>
      <c r="I434" s="138"/>
      <c r="J434" s="138"/>
      <c r="K434" s="138"/>
      <c r="L434" s="138"/>
      <c r="M434" s="138"/>
      <c r="N434" s="138"/>
      <c r="O434" s="25"/>
    </row>
    <row r="435">
      <c r="A435" s="138"/>
      <c r="B435" s="25"/>
      <c r="C435" s="25"/>
      <c r="D435" s="138"/>
      <c r="E435" s="138"/>
      <c r="F435" s="138"/>
      <c r="G435" s="138"/>
      <c r="H435" s="138"/>
      <c r="I435" s="138"/>
      <c r="J435" s="138"/>
      <c r="K435" s="138"/>
      <c r="L435" s="138"/>
      <c r="M435" s="138"/>
      <c r="N435" s="138"/>
      <c r="O435" s="25"/>
    </row>
    <row r="436">
      <c r="A436" s="138"/>
      <c r="B436" s="25"/>
      <c r="C436" s="25"/>
      <c r="D436" s="138"/>
      <c r="E436" s="138"/>
      <c r="F436" s="138"/>
      <c r="G436" s="138"/>
      <c r="H436" s="138"/>
      <c r="I436" s="138"/>
      <c r="J436" s="138"/>
      <c r="K436" s="138"/>
      <c r="L436" s="138"/>
      <c r="M436" s="138"/>
      <c r="N436" s="138"/>
      <c r="O436" s="25"/>
    </row>
    <row r="437">
      <c r="A437" s="138"/>
      <c r="B437" s="25"/>
      <c r="C437" s="25"/>
      <c r="D437" s="138"/>
      <c r="E437" s="138"/>
      <c r="F437" s="138"/>
      <c r="G437" s="138"/>
      <c r="H437" s="138"/>
      <c r="I437" s="138"/>
      <c r="J437" s="138"/>
      <c r="K437" s="138"/>
      <c r="L437" s="138"/>
      <c r="M437" s="138"/>
      <c r="N437" s="138"/>
      <c r="O437" s="25"/>
    </row>
    <row r="438">
      <c r="A438" s="138"/>
      <c r="B438" s="25"/>
      <c r="C438" s="25"/>
      <c r="D438" s="138"/>
      <c r="E438" s="138"/>
      <c r="F438" s="138"/>
      <c r="G438" s="138"/>
      <c r="H438" s="138"/>
      <c r="I438" s="138"/>
      <c r="J438" s="138"/>
      <c r="K438" s="138"/>
      <c r="L438" s="138"/>
      <c r="M438" s="138"/>
      <c r="N438" s="138"/>
      <c r="O438" s="25"/>
    </row>
    <row r="439">
      <c r="A439" s="138"/>
      <c r="B439" s="25"/>
      <c r="C439" s="25"/>
      <c r="D439" s="138"/>
      <c r="E439" s="138"/>
      <c r="F439" s="138"/>
      <c r="G439" s="138"/>
      <c r="H439" s="138"/>
      <c r="I439" s="138"/>
      <c r="J439" s="138"/>
      <c r="K439" s="138"/>
      <c r="L439" s="138"/>
      <c r="M439" s="138"/>
      <c r="N439" s="138"/>
      <c r="O439" s="25"/>
    </row>
    <row r="440">
      <c r="A440" s="138"/>
      <c r="B440" s="25"/>
      <c r="C440" s="25"/>
      <c r="D440" s="138"/>
      <c r="E440" s="138"/>
      <c r="F440" s="138"/>
      <c r="G440" s="138"/>
      <c r="H440" s="138"/>
      <c r="I440" s="138"/>
      <c r="J440" s="138"/>
      <c r="K440" s="138"/>
      <c r="L440" s="138"/>
      <c r="M440" s="138"/>
      <c r="N440" s="138"/>
      <c r="O440" s="25"/>
    </row>
    <row r="441">
      <c r="A441" s="138"/>
      <c r="B441" s="25"/>
      <c r="C441" s="25"/>
      <c r="D441" s="138"/>
      <c r="E441" s="138"/>
      <c r="F441" s="138"/>
      <c r="G441" s="138"/>
      <c r="H441" s="138"/>
      <c r="I441" s="138"/>
      <c r="J441" s="138"/>
      <c r="K441" s="138"/>
      <c r="L441" s="138"/>
      <c r="M441" s="138"/>
      <c r="N441" s="138"/>
      <c r="O441" s="25"/>
    </row>
    <row r="442">
      <c r="A442" s="138"/>
      <c r="B442" s="25"/>
      <c r="C442" s="25"/>
      <c r="D442" s="138"/>
      <c r="E442" s="138"/>
      <c r="F442" s="138"/>
      <c r="G442" s="138"/>
      <c r="H442" s="138"/>
      <c r="I442" s="138"/>
      <c r="J442" s="138"/>
      <c r="K442" s="138"/>
      <c r="L442" s="138"/>
      <c r="M442" s="138"/>
      <c r="N442" s="138"/>
      <c r="O442" s="25"/>
    </row>
    <row r="443">
      <c r="A443" s="138"/>
      <c r="B443" s="25"/>
      <c r="C443" s="25"/>
      <c r="D443" s="138"/>
      <c r="E443" s="138"/>
      <c r="F443" s="138"/>
      <c r="G443" s="138"/>
      <c r="H443" s="138"/>
      <c r="I443" s="138"/>
      <c r="J443" s="138"/>
      <c r="K443" s="138"/>
      <c r="L443" s="138"/>
      <c r="M443" s="138"/>
      <c r="N443" s="138"/>
      <c r="O443" s="25"/>
    </row>
    <row r="444">
      <c r="A444" s="138"/>
      <c r="B444" s="25"/>
      <c r="C444" s="25"/>
      <c r="D444" s="138"/>
      <c r="E444" s="138"/>
      <c r="F444" s="138"/>
      <c r="G444" s="138"/>
      <c r="H444" s="138"/>
      <c r="I444" s="138"/>
      <c r="J444" s="138"/>
      <c r="K444" s="138"/>
      <c r="L444" s="138"/>
      <c r="M444" s="138"/>
      <c r="N444" s="138"/>
      <c r="O444" s="25"/>
    </row>
    <row r="445">
      <c r="A445" s="138"/>
      <c r="B445" s="25"/>
      <c r="C445" s="25"/>
      <c r="D445" s="138"/>
      <c r="E445" s="138"/>
      <c r="F445" s="138"/>
      <c r="G445" s="138"/>
      <c r="H445" s="138"/>
      <c r="I445" s="138"/>
      <c r="J445" s="138"/>
      <c r="K445" s="138"/>
      <c r="L445" s="138"/>
      <c r="M445" s="138"/>
      <c r="N445" s="138"/>
      <c r="O445" s="25"/>
    </row>
    <row r="446">
      <c r="A446" s="138"/>
      <c r="B446" s="25"/>
      <c r="C446" s="25"/>
      <c r="D446" s="138"/>
      <c r="E446" s="138"/>
      <c r="F446" s="138"/>
      <c r="G446" s="138"/>
      <c r="H446" s="138"/>
      <c r="I446" s="138"/>
      <c r="J446" s="138"/>
      <c r="K446" s="138"/>
      <c r="L446" s="138"/>
      <c r="M446" s="138"/>
      <c r="N446" s="138"/>
      <c r="O446" s="25"/>
    </row>
    <row r="447">
      <c r="A447" s="138"/>
      <c r="B447" s="25"/>
      <c r="C447" s="25"/>
      <c r="D447" s="138"/>
      <c r="E447" s="138"/>
      <c r="F447" s="138"/>
      <c r="G447" s="138"/>
      <c r="H447" s="138"/>
      <c r="I447" s="138"/>
      <c r="J447" s="138"/>
      <c r="K447" s="138"/>
      <c r="L447" s="138"/>
      <c r="M447" s="138"/>
      <c r="N447" s="138"/>
      <c r="O447" s="25"/>
    </row>
    <row r="448">
      <c r="A448" s="138"/>
      <c r="B448" s="25"/>
      <c r="C448" s="25"/>
      <c r="D448" s="138"/>
      <c r="E448" s="138"/>
      <c r="F448" s="138"/>
      <c r="G448" s="138"/>
      <c r="H448" s="138"/>
      <c r="I448" s="138"/>
      <c r="J448" s="138"/>
      <c r="K448" s="138"/>
      <c r="L448" s="138"/>
      <c r="M448" s="138"/>
      <c r="N448" s="138"/>
      <c r="O448" s="25"/>
    </row>
    <row r="449">
      <c r="A449" s="138"/>
      <c r="B449" s="25"/>
      <c r="C449" s="25"/>
      <c r="D449" s="138"/>
      <c r="E449" s="138"/>
      <c r="F449" s="138"/>
      <c r="G449" s="138"/>
      <c r="H449" s="138"/>
      <c r="I449" s="138"/>
      <c r="J449" s="138"/>
      <c r="K449" s="138"/>
      <c r="L449" s="138"/>
      <c r="M449" s="138"/>
      <c r="N449" s="138"/>
      <c r="O449" s="25"/>
    </row>
    <row r="450">
      <c r="A450" s="138"/>
      <c r="B450" s="25"/>
      <c r="C450" s="25"/>
      <c r="D450" s="138"/>
      <c r="E450" s="138"/>
      <c r="F450" s="138"/>
      <c r="G450" s="138"/>
      <c r="H450" s="138"/>
      <c r="I450" s="138"/>
      <c r="J450" s="138"/>
      <c r="K450" s="138"/>
      <c r="L450" s="138"/>
      <c r="M450" s="138"/>
      <c r="N450" s="138"/>
      <c r="O450" s="25"/>
    </row>
    <row r="451">
      <c r="A451" s="138"/>
      <c r="B451" s="25"/>
      <c r="C451" s="25"/>
      <c r="D451" s="138"/>
      <c r="E451" s="138"/>
      <c r="F451" s="138"/>
      <c r="G451" s="138"/>
      <c r="H451" s="138"/>
      <c r="I451" s="138"/>
      <c r="J451" s="138"/>
      <c r="K451" s="138"/>
      <c r="L451" s="138"/>
      <c r="M451" s="138"/>
      <c r="N451" s="138"/>
      <c r="O451" s="25"/>
    </row>
    <row r="452">
      <c r="A452" s="138"/>
      <c r="B452" s="25"/>
      <c r="C452" s="25"/>
      <c r="D452" s="138"/>
      <c r="E452" s="138"/>
      <c r="F452" s="138"/>
      <c r="G452" s="138"/>
      <c r="H452" s="138"/>
      <c r="I452" s="138"/>
      <c r="J452" s="138"/>
      <c r="K452" s="138"/>
      <c r="L452" s="138"/>
      <c r="M452" s="138"/>
      <c r="N452" s="138"/>
      <c r="O452" s="25"/>
    </row>
    <row r="453">
      <c r="A453" s="138"/>
      <c r="B453" s="25"/>
      <c r="C453" s="25"/>
      <c r="D453" s="138"/>
      <c r="E453" s="138"/>
      <c r="F453" s="138"/>
      <c r="G453" s="138"/>
      <c r="H453" s="138"/>
      <c r="I453" s="138"/>
      <c r="J453" s="138"/>
      <c r="K453" s="138"/>
      <c r="L453" s="138"/>
      <c r="M453" s="138"/>
      <c r="N453" s="138"/>
      <c r="O453" s="25"/>
    </row>
    <row r="454">
      <c r="A454" s="138"/>
      <c r="B454" s="25"/>
      <c r="C454" s="25"/>
      <c r="D454" s="138"/>
      <c r="E454" s="138"/>
      <c r="F454" s="138"/>
      <c r="G454" s="138"/>
      <c r="H454" s="138"/>
      <c r="I454" s="138"/>
      <c r="J454" s="138"/>
      <c r="K454" s="138"/>
      <c r="L454" s="138"/>
      <c r="M454" s="138"/>
      <c r="N454" s="138"/>
      <c r="O454" s="25"/>
    </row>
    <row r="455">
      <c r="A455" s="138"/>
      <c r="B455" s="25"/>
      <c r="C455" s="25"/>
      <c r="D455" s="138"/>
      <c r="E455" s="138"/>
      <c r="F455" s="138"/>
      <c r="G455" s="138"/>
      <c r="H455" s="138"/>
      <c r="I455" s="138"/>
      <c r="J455" s="138"/>
      <c r="K455" s="138"/>
      <c r="L455" s="138"/>
      <c r="M455" s="138"/>
      <c r="N455" s="138"/>
      <c r="O455" s="25"/>
    </row>
    <row r="456">
      <c r="A456" s="138"/>
      <c r="B456" s="25"/>
      <c r="C456" s="25"/>
      <c r="D456" s="138"/>
      <c r="E456" s="138"/>
      <c r="F456" s="138"/>
      <c r="G456" s="138"/>
      <c r="H456" s="138"/>
      <c r="I456" s="138"/>
      <c r="J456" s="138"/>
      <c r="K456" s="138"/>
      <c r="L456" s="138"/>
      <c r="M456" s="138"/>
      <c r="N456" s="138"/>
      <c r="O456" s="25"/>
    </row>
    <row r="457">
      <c r="A457" s="138"/>
      <c r="B457" s="25"/>
      <c r="C457" s="25"/>
      <c r="D457" s="138"/>
      <c r="E457" s="138"/>
      <c r="F457" s="138"/>
      <c r="G457" s="138"/>
      <c r="H457" s="138"/>
      <c r="I457" s="138"/>
      <c r="J457" s="138"/>
      <c r="K457" s="138"/>
      <c r="L457" s="138"/>
      <c r="M457" s="138"/>
      <c r="N457" s="138"/>
      <c r="O457" s="25"/>
    </row>
    <row r="458">
      <c r="A458" s="138"/>
      <c r="B458" s="25"/>
      <c r="C458" s="25"/>
      <c r="D458" s="138"/>
      <c r="E458" s="138"/>
      <c r="F458" s="138"/>
      <c r="G458" s="138"/>
      <c r="H458" s="138"/>
      <c r="I458" s="138"/>
      <c r="J458" s="138"/>
      <c r="K458" s="138"/>
      <c r="L458" s="138"/>
      <c r="M458" s="138"/>
      <c r="N458" s="138"/>
      <c r="O458" s="25"/>
    </row>
    <row r="459">
      <c r="A459" s="138"/>
      <c r="B459" s="25"/>
      <c r="C459" s="25"/>
      <c r="D459" s="138"/>
      <c r="E459" s="138"/>
      <c r="F459" s="138"/>
      <c r="G459" s="138"/>
      <c r="H459" s="138"/>
      <c r="I459" s="138"/>
      <c r="J459" s="138"/>
      <c r="K459" s="138"/>
      <c r="L459" s="138"/>
      <c r="M459" s="138"/>
      <c r="N459" s="138"/>
      <c r="O459" s="25"/>
    </row>
    <row r="460">
      <c r="A460" s="138"/>
      <c r="B460" s="25"/>
      <c r="C460" s="25"/>
      <c r="D460" s="138"/>
      <c r="E460" s="138"/>
      <c r="F460" s="138"/>
      <c r="G460" s="138"/>
      <c r="H460" s="138"/>
      <c r="I460" s="138"/>
      <c r="J460" s="138"/>
      <c r="K460" s="138"/>
      <c r="L460" s="138"/>
      <c r="M460" s="138"/>
      <c r="N460" s="138"/>
      <c r="O460" s="25"/>
    </row>
    <row r="461">
      <c r="A461" s="138"/>
      <c r="B461" s="25"/>
      <c r="C461" s="25"/>
      <c r="D461" s="138"/>
      <c r="E461" s="138"/>
      <c r="F461" s="138"/>
      <c r="G461" s="138"/>
      <c r="H461" s="138"/>
      <c r="I461" s="138"/>
      <c r="J461" s="138"/>
      <c r="K461" s="138"/>
      <c r="L461" s="138"/>
      <c r="M461" s="138"/>
      <c r="N461" s="138"/>
      <c r="O461" s="25"/>
    </row>
    <row r="462">
      <c r="A462" s="138"/>
      <c r="B462" s="25"/>
      <c r="C462" s="25"/>
      <c r="D462" s="138"/>
      <c r="E462" s="138"/>
      <c r="F462" s="138"/>
      <c r="G462" s="138"/>
      <c r="H462" s="138"/>
      <c r="I462" s="138"/>
      <c r="J462" s="138"/>
      <c r="K462" s="138"/>
      <c r="L462" s="138"/>
      <c r="M462" s="138"/>
      <c r="N462" s="138"/>
      <c r="O462" s="25"/>
    </row>
    <row r="463">
      <c r="A463" s="138"/>
      <c r="B463" s="25"/>
      <c r="C463" s="25"/>
      <c r="D463" s="138"/>
      <c r="E463" s="138"/>
      <c r="F463" s="138"/>
      <c r="G463" s="138"/>
      <c r="H463" s="138"/>
      <c r="I463" s="138"/>
      <c r="J463" s="138"/>
      <c r="K463" s="138"/>
      <c r="L463" s="138"/>
      <c r="M463" s="138"/>
      <c r="N463" s="138"/>
      <c r="O463" s="25"/>
    </row>
    <row r="464">
      <c r="A464" s="138"/>
      <c r="B464" s="25"/>
      <c r="C464" s="25"/>
      <c r="D464" s="138"/>
      <c r="E464" s="138"/>
      <c r="F464" s="138"/>
      <c r="G464" s="138"/>
      <c r="H464" s="138"/>
      <c r="I464" s="138"/>
      <c r="J464" s="138"/>
      <c r="K464" s="138"/>
      <c r="L464" s="138"/>
      <c r="M464" s="138"/>
      <c r="N464" s="138"/>
      <c r="O464" s="25"/>
    </row>
    <row r="465">
      <c r="A465" s="138"/>
      <c r="B465" s="25"/>
      <c r="C465" s="25"/>
      <c r="D465" s="138"/>
      <c r="E465" s="138"/>
      <c r="F465" s="138"/>
      <c r="G465" s="138"/>
      <c r="H465" s="138"/>
      <c r="I465" s="138"/>
      <c r="J465" s="138"/>
      <c r="K465" s="138"/>
      <c r="L465" s="138"/>
      <c r="M465" s="138"/>
      <c r="N465" s="138"/>
      <c r="O465" s="25"/>
    </row>
    <row r="466">
      <c r="A466" s="138"/>
      <c r="B466" s="25"/>
      <c r="C466" s="25"/>
      <c r="D466" s="138"/>
      <c r="E466" s="138"/>
      <c r="F466" s="138"/>
      <c r="G466" s="138"/>
      <c r="H466" s="138"/>
      <c r="I466" s="138"/>
      <c r="J466" s="138"/>
      <c r="K466" s="138"/>
      <c r="L466" s="138"/>
      <c r="M466" s="138"/>
      <c r="N466" s="138"/>
      <c r="O466" s="25"/>
    </row>
    <row r="467">
      <c r="A467" s="138"/>
      <c r="B467" s="25"/>
      <c r="C467" s="25"/>
      <c r="D467" s="138"/>
      <c r="E467" s="138"/>
      <c r="F467" s="138"/>
      <c r="G467" s="138"/>
      <c r="H467" s="138"/>
      <c r="I467" s="138"/>
      <c r="J467" s="138"/>
      <c r="K467" s="138"/>
      <c r="L467" s="138"/>
      <c r="M467" s="138"/>
      <c r="N467" s="138"/>
      <c r="O467" s="25"/>
    </row>
    <row r="468">
      <c r="A468" s="138"/>
      <c r="B468" s="25"/>
      <c r="C468" s="25"/>
      <c r="D468" s="138"/>
      <c r="E468" s="138"/>
      <c r="F468" s="138"/>
      <c r="G468" s="138"/>
      <c r="H468" s="138"/>
      <c r="I468" s="138"/>
      <c r="J468" s="138"/>
      <c r="K468" s="138"/>
      <c r="L468" s="138"/>
      <c r="M468" s="138"/>
      <c r="N468" s="138"/>
      <c r="O468" s="25"/>
    </row>
    <row r="469">
      <c r="A469" s="138"/>
      <c r="B469" s="25"/>
      <c r="C469" s="25"/>
      <c r="D469" s="138"/>
      <c r="E469" s="138"/>
      <c r="F469" s="138"/>
      <c r="G469" s="138"/>
      <c r="H469" s="138"/>
      <c r="I469" s="138"/>
      <c r="J469" s="138"/>
      <c r="K469" s="138"/>
      <c r="L469" s="138"/>
      <c r="M469" s="138"/>
      <c r="N469" s="138"/>
      <c r="O469" s="25"/>
    </row>
    <row r="470">
      <c r="A470" s="138"/>
      <c r="B470" s="25"/>
      <c r="C470" s="25"/>
      <c r="D470" s="138"/>
      <c r="E470" s="138"/>
      <c r="F470" s="138"/>
      <c r="G470" s="138"/>
      <c r="H470" s="138"/>
      <c r="I470" s="138"/>
      <c r="J470" s="138"/>
      <c r="K470" s="138"/>
      <c r="L470" s="138"/>
      <c r="M470" s="138"/>
      <c r="N470" s="138"/>
      <c r="O470" s="25"/>
    </row>
    <row r="471">
      <c r="A471" s="138"/>
      <c r="B471" s="25"/>
      <c r="C471" s="25"/>
      <c r="D471" s="138"/>
      <c r="E471" s="138"/>
      <c r="F471" s="138"/>
      <c r="G471" s="138"/>
      <c r="H471" s="138"/>
      <c r="I471" s="138"/>
      <c r="J471" s="138"/>
      <c r="K471" s="138"/>
      <c r="L471" s="138"/>
      <c r="M471" s="138"/>
      <c r="N471" s="138"/>
      <c r="O471" s="25"/>
    </row>
    <row r="472">
      <c r="A472" s="138"/>
      <c r="B472" s="25"/>
      <c r="C472" s="25"/>
      <c r="D472" s="138"/>
      <c r="E472" s="138"/>
      <c r="F472" s="138"/>
      <c r="G472" s="138"/>
      <c r="H472" s="138"/>
      <c r="I472" s="138"/>
      <c r="J472" s="138"/>
      <c r="K472" s="138"/>
      <c r="L472" s="138"/>
      <c r="M472" s="138"/>
      <c r="N472" s="138"/>
      <c r="O472" s="25"/>
    </row>
    <row r="473">
      <c r="A473" s="138"/>
      <c r="B473" s="25"/>
      <c r="C473" s="25"/>
      <c r="D473" s="138"/>
      <c r="E473" s="138"/>
      <c r="F473" s="138"/>
      <c r="G473" s="138"/>
      <c r="H473" s="138"/>
      <c r="I473" s="138"/>
      <c r="J473" s="138"/>
      <c r="K473" s="138"/>
      <c r="L473" s="138"/>
      <c r="M473" s="138"/>
      <c r="N473" s="138"/>
      <c r="O473" s="25"/>
    </row>
    <row r="474">
      <c r="A474" s="138"/>
      <c r="B474" s="25"/>
      <c r="C474" s="25"/>
      <c r="D474" s="138"/>
      <c r="E474" s="138"/>
      <c r="F474" s="138"/>
      <c r="G474" s="138"/>
      <c r="H474" s="138"/>
      <c r="I474" s="138"/>
      <c r="J474" s="138"/>
      <c r="K474" s="138"/>
      <c r="L474" s="138"/>
      <c r="M474" s="138"/>
      <c r="N474" s="138"/>
      <c r="O474" s="25"/>
    </row>
    <row r="475">
      <c r="A475" s="138"/>
      <c r="B475" s="25"/>
      <c r="C475" s="25"/>
      <c r="D475" s="138"/>
      <c r="E475" s="138"/>
      <c r="F475" s="138"/>
      <c r="G475" s="138"/>
      <c r="H475" s="138"/>
      <c r="I475" s="138"/>
      <c r="J475" s="138"/>
      <c r="K475" s="138"/>
      <c r="L475" s="138"/>
      <c r="M475" s="138"/>
      <c r="N475" s="138"/>
      <c r="O475" s="25"/>
    </row>
    <row r="476">
      <c r="A476" s="138"/>
      <c r="B476" s="25"/>
      <c r="C476" s="25"/>
      <c r="D476" s="138"/>
      <c r="E476" s="138"/>
      <c r="F476" s="138"/>
      <c r="G476" s="138"/>
      <c r="H476" s="138"/>
      <c r="I476" s="138"/>
      <c r="J476" s="138"/>
      <c r="K476" s="138"/>
      <c r="L476" s="138"/>
      <c r="M476" s="138"/>
      <c r="N476" s="138"/>
      <c r="O476" s="25"/>
    </row>
    <row r="477">
      <c r="A477" s="138"/>
      <c r="B477" s="25"/>
      <c r="C477" s="25"/>
      <c r="D477" s="138"/>
      <c r="E477" s="138"/>
      <c r="F477" s="138"/>
      <c r="G477" s="138"/>
      <c r="H477" s="138"/>
      <c r="I477" s="138"/>
      <c r="J477" s="138"/>
      <c r="K477" s="138"/>
      <c r="L477" s="138"/>
      <c r="M477" s="138"/>
      <c r="N477" s="138"/>
      <c r="O477" s="25"/>
    </row>
    <row r="478">
      <c r="A478" s="138"/>
      <c r="B478" s="25"/>
      <c r="C478" s="25"/>
      <c r="D478" s="138"/>
      <c r="E478" s="138"/>
      <c r="F478" s="138"/>
      <c r="G478" s="138"/>
      <c r="H478" s="138"/>
      <c r="I478" s="138"/>
      <c r="J478" s="138"/>
      <c r="K478" s="138"/>
      <c r="L478" s="138"/>
      <c r="M478" s="138"/>
      <c r="N478" s="138"/>
      <c r="O478" s="25"/>
    </row>
    <row r="479">
      <c r="A479" s="138"/>
      <c r="B479" s="25"/>
      <c r="C479" s="25"/>
      <c r="D479" s="138"/>
      <c r="E479" s="138"/>
      <c r="F479" s="138"/>
      <c r="G479" s="138"/>
      <c r="H479" s="138"/>
      <c r="I479" s="138"/>
      <c r="J479" s="138"/>
      <c r="K479" s="138"/>
      <c r="L479" s="138"/>
      <c r="M479" s="138"/>
      <c r="N479" s="138"/>
      <c r="O479" s="25"/>
    </row>
    <row r="480">
      <c r="A480" s="138"/>
      <c r="B480" s="25"/>
      <c r="C480" s="25"/>
      <c r="D480" s="138"/>
      <c r="E480" s="138"/>
      <c r="F480" s="138"/>
      <c r="G480" s="138"/>
      <c r="H480" s="138"/>
      <c r="I480" s="138"/>
      <c r="J480" s="138"/>
      <c r="K480" s="138"/>
      <c r="L480" s="138"/>
      <c r="M480" s="138"/>
      <c r="N480" s="138"/>
      <c r="O480" s="25"/>
    </row>
    <row r="481">
      <c r="A481" s="138"/>
      <c r="B481" s="25"/>
      <c r="C481" s="25"/>
      <c r="D481" s="138"/>
      <c r="E481" s="138"/>
      <c r="F481" s="138"/>
      <c r="G481" s="138"/>
      <c r="H481" s="138"/>
      <c r="I481" s="138"/>
      <c r="J481" s="138"/>
      <c r="K481" s="138"/>
      <c r="L481" s="138"/>
      <c r="M481" s="138"/>
      <c r="N481" s="138"/>
      <c r="O481" s="25"/>
    </row>
    <row r="482">
      <c r="A482" s="138"/>
      <c r="B482" s="25"/>
      <c r="C482" s="25"/>
      <c r="D482" s="138"/>
      <c r="E482" s="138"/>
      <c r="F482" s="138"/>
      <c r="G482" s="138"/>
      <c r="H482" s="138"/>
      <c r="I482" s="138"/>
      <c r="J482" s="138"/>
      <c r="K482" s="138"/>
      <c r="L482" s="138"/>
      <c r="M482" s="138"/>
      <c r="N482" s="138"/>
      <c r="O482" s="25"/>
    </row>
    <row r="483">
      <c r="A483" s="138"/>
      <c r="B483" s="25"/>
      <c r="C483" s="25"/>
      <c r="D483" s="138"/>
      <c r="E483" s="138"/>
      <c r="F483" s="138"/>
      <c r="G483" s="138"/>
      <c r="H483" s="138"/>
      <c r="I483" s="138"/>
      <c r="J483" s="138"/>
      <c r="K483" s="138"/>
      <c r="L483" s="138"/>
      <c r="M483" s="138"/>
      <c r="N483" s="138"/>
      <c r="O483" s="25"/>
    </row>
    <row r="484">
      <c r="A484" s="138"/>
      <c r="B484" s="25"/>
      <c r="C484" s="25"/>
      <c r="D484" s="138"/>
      <c r="E484" s="138"/>
      <c r="F484" s="138"/>
      <c r="G484" s="138"/>
      <c r="H484" s="138"/>
      <c r="I484" s="138"/>
      <c r="J484" s="138"/>
      <c r="K484" s="138"/>
      <c r="L484" s="138"/>
      <c r="M484" s="138"/>
      <c r="N484" s="138"/>
      <c r="O484" s="25"/>
    </row>
    <row r="485">
      <c r="A485" s="138"/>
      <c r="B485" s="25"/>
      <c r="C485" s="25"/>
      <c r="D485" s="138"/>
      <c r="E485" s="138"/>
      <c r="F485" s="138"/>
      <c r="G485" s="138"/>
      <c r="H485" s="138"/>
      <c r="I485" s="138"/>
      <c r="J485" s="138"/>
      <c r="K485" s="138"/>
      <c r="L485" s="138"/>
      <c r="M485" s="138"/>
      <c r="N485" s="138"/>
      <c r="O485" s="25"/>
    </row>
    <row r="486">
      <c r="A486" s="138"/>
      <c r="B486" s="25"/>
      <c r="C486" s="25"/>
      <c r="D486" s="138"/>
      <c r="E486" s="138"/>
      <c r="F486" s="138"/>
      <c r="G486" s="138"/>
      <c r="H486" s="138"/>
      <c r="I486" s="138"/>
      <c r="J486" s="138"/>
      <c r="K486" s="138"/>
      <c r="L486" s="138"/>
      <c r="M486" s="138"/>
      <c r="N486" s="138"/>
      <c r="O486" s="25"/>
    </row>
    <row r="487">
      <c r="A487" s="138"/>
      <c r="B487" s="25"/>
      <c r="C487" s="25"/>
      <c r="D487" s="138"/>
      <c r="E487" s="138"/>
      <c r="F487" s="138"/>
      <c r="G487" s="138"/>
      <c r="H487" s="138"/>
      <c r="I487" s="138"/>
      <c r="J487" s="138"/>
      <c r="K487" s="138"/>
      <c r="L487" s="138"/>
      <c r="M487" s="138"/>
      <c r="N487" s="138"/>
      <c r="O487" s="25"/>
    </row>
    <row r="488">
      <c r="A488" s="138"/>
      <c r="B488" s="25"/>
      <c r="C488" s="25"/>
      <c r="D488" s="138"/>
      <c r="E488" s="138"/>
      <c r="F488" s="138"/>
      <c r="G488" s="138"/>
      <c r="H488" s="138"/>
      <c r="I488" s="138"/>
      <c r="J488" s="138"/>
      <c r="K488" s="138"/>
      <c r="L488" s="138"/>
      <c r="M488" s="138"/>
      <c r="N488" s="138"/>
      <c r="O488" s="25"/>
    </row>
    <row r="489">
      <c r="A489" s="138"/>
      <c r="B489" s="25"/>
      <c r="C489" s="25"/>
      <c r="D489" s="138"/>
      <c r="E489" s="138"/>
      <c r="F489" s="138"/>
      <c r="G489" s="138"/>
      <c r="H489" s="138"/>
      <c r="I489" s="138"/>
      <c r="J489" s="138"/>
      <c r="K489" s="138"/>
      <c r="L489" s="138"/>
      <c r="M489" s="138"/>
      <c r="N489" s="138"/>
      <c r="O489" s="25"/>
    </row>
    <row r="490">
      <c r="A490" s="138"/>
      <c r="B490" s="25"/>
      <c r="C490" s="25"/>
      <c r="D490" s="138"/>
      <c r="E490" s="138"/>
      <c r="F490" s="138"/>
      <c r="G490" s="138"/>
      <c r="H490" s="138"/>
      <c r="I490" s="138"/>
      <c r="J490" s="138"/>
      <c r="K490" s="138"/>
      <c r="L490" s="138"/>
      <c r="M490" s="138"/>
      <c r="N490" s="138"/>
      <c r="O490" s="25"/>
    </row>
    <row r="491">
      <c r="A491" s="138"/>
      <c r="B491" s="25"/>
      <c r="C491" s="25"/>
      <c r="D491" s="138"/>
      <c r="E491" s="138"/>
      <c r="F491" s="138"/>
      <c r="G491" s="138"/>
      <c r="H491" s="138"/>
      <c r="I491" s="138"/>
      <c r="J491" s="138"/>
      <c r="K491" s="138"/>
      <c r="L491" s="138"/>
      <c r="M491" s="138"/>
      <c r="N491" s="138"/>
      <c r="O491" s="25"/>
    </row>
    <row r="492">
      <c r="A492" s="138"/>
      <c r="B492" s="25"/>
      <c r="C492" s="25"/>
      <c r="D492" s="138"/>
      <c r="E492" s="138"/>
      <c r="F492" s="138"/>
      <c r="G492" s="138"/>
      <c r="H492" s="138"/>
      <c r="I492" s="138"/>
      <c r="J492" s="138"/>
      <c r="K492" s="138"/>
      <c r="L492" s="138"/>
      <c r="M492" s="138"/>
      <c r="N492" s="138"/>
      <c r="O492" s="25"/>
    </row>
    <row r="493">
      <c r="A493" s="138"/>
      <c r="B493" s="25"/>
      <c r="C493" s="25"/>
      <c r="D493" s="138"/>
      <c r="E493" s="138"/>
      <c r="F493" s="138"/>
      <c r="G493" s="138"/>
      <c r="H493" s="138"/>
      <c r="I493" s="138"/>
      <c r="J493" s="138"/>
      <c r="K493" s="138"/>
      <c r="L493" s="138"/>
      <c r="M493" s="138"/>
      <c r="N493" s="138"/>
      <c r="O493" s="25"/>
    </row>
    <row r="494">
      <c r="A494" s="138"/>
      <c r="B494" s="25"/>
      <c r="C494" s="25"/>
      <c r="D494" s="138"/>
      <c r="E494" s="138"/>
      <c r="F494" s="138"/>
      <c r="G494" s="138"/>
      <c r="H494" s="138"/>
      <c r="I494" s="138"/>
      <c r="J494" s="138"/>
      <c r="K494" s="138"/>
      <c r="L494" s="138"/>
      <c r="M494" s="138"/>
      <c r="N494" s="138"/>
      <c r="O494" s="25"/>
    </row>
    <row r="495">
      <c r="A495" s="138"/>
      <c r="B495" s="25"/>
      <c r="C495" s="25"/>
      <c r="D495" s="138"/>
      <c r="E495" s="138"/>
      <c r="F495" s="138"/>
      <c r="G495" s="138"/>
      <c r="H495" s="138"/>
      <c r="I495" s="138"/>
      <c r="J495" s="138"/>
      <c r="K495" s="138"/>
      <c r="L495" s="138"/>
      <c r="M495" s="138"/>
      <c r="N495" s="138"/>
      <c r="O495" s="25"/>
    </row>
    <row r="496">
      <c r="A496" s="138"/>
      <c r="B496" s="25"/>
      <c r="C496" s="25"/>
      <c r="D496" s="138"/>
      <c r="E496" s="138"/>
      <c r="F496" s="138"/>
      <c r="G496" s="138"/>
      <c r="H496" s="138"/>
      <c r="I496" s="138"/>
      <c r="J496" s="138"/>
      <c r="K496" s="138"/>
      <c r="L496" s="138"/>
      <c r="M496" s="138"/>
      <c r="N496" s="138"/>
      <c r="O496" s="25"/>
    </row>
    <row r="497">
      <c r="A497" s="138"/>
      <c r="B497" s="25"/>
      <c r="C497" s="25"/>
      <c r="D497" s="138"/>
      <c r="E497" s="138"/>
      <c r="F497" s="138"/>
      <c r="G497" s="138"/>
      <c r="H497" s="138"/>
      <c r="I497" s="138"/>
      <c r="J497" s="138"/>
      <c r="K497" s="138"/>
      <c r="L497" s="138"/>
      <c r="M497" s="138"/>
      <c r="N497" s="138"/>
      <c r="O497" s="25"/>
    </row>
    <row r="498">
      <c r="A498" s="138"/>
      <c r="B498" s="25"/>
      <c r="C498" s="25"/>
      <c r="D498" s="138"/>
      <c r="E498" s="138"/>
      <c r="F498" s="138"/>
      <c r="G498" s="138"/>
      <c r="H498" s="138"/>
      <c r="I498" s="138"/>
      <c r="J498" s="138"/>
      <c r="K498" s="138"/>
      <c r="L498" s="138"/>
      <c r="M498" s="138"/>
      <c r="N498" s="138"/>
      <c r="O498" s="25"/>
    </row>
    <row r="499">
      <c r="A499" s="138"/>
      <c r="B499" s="25"/>
      <c r="C499" s="25"/>
      <c r="D499" s="138"/>
      <c r="E499" s="138"/>
      <c r="F499" s="138"/>
      <c r="G499" s="138"/>
      <c r="H499" s="138"/>
      <c r="I499" s="138"/>
      <c r="J499" s="138"/>
      <c r="K499" s="138"/>
      <c r="L499" s="138"/>
      <c r="M499" s="138"/>
      <c r="N499" s="138"/>
      <c r="O499" s="25"/>
    </row>
    <row r="500">
      <c r="A500" s="138"/>
      <c r="B500" s="25"/>
      <c r="C500" s="25"/>
      <c r="D500" s="138"/>
      <c r="E500" s="138"/>
      <c r="F500" s="138"/>
      <c r="G500" s="138"/>
      <c r="H500" s="138"/>
      <c r="I500" s="138"/>
      <c r="J500" s="138"/>
      <c r="K500" s="138"/>
      <c r="L500" s="138"/>
      <c r="M500" s="138"/>
      <c r="N500" s="138"/>
      <c r="O500" s="25"/>
    </row>
    <row r="501">
      <c r="A501" s="138"/>
      <c r="B501" s="25"/>
      <c r="C501" s="25"/>
      <c r="D501" s="138"/>
      <c r="E501" s="138"/>
      <c r="F501" s="138"/>
      <c r="G501" s="138"/>
      <c r="H501" s="138"/>
      <c r="I501" s="138"/>
      <c r="J501" s="138"/>
      <c r="K501" s="138"/>
      <c r="L501" s="138"/>
      <c r="M501" s="138"/>
      <c r="N501" s="138"/>
      <c r="O501" s="25"/>
    </row>
    <row r="502">
      <c r="A502" s="138"/>
      <c r="B502" s="25"/>
      <c r="C502" s="25"/>
      <c r="D502" s="138"/>
      <c r="E502" s="138"/>
      <c r="F502" s="138"/>
      <c r="G502" s="138"/>
      <c r="H502" s="138"/>
      <c r="I502" s="138"/>
      <c r="J502" s="138"/>
      <c r="K502" s="138"/>
      <c r="L502" s="138"/>
      <c r="M502" s="138"/>
      <c r="N502" s="138"/>
      <c r="O502" s="25"/>
    </row>
    <row r="503">
      <c r="A503" s="138"/>
      <c r="B503" s="25"/>
      <c r="C503" s="25"/>
      <c r="D503" s="138"/>
      <c r="E503" s="138"/>
      <c r="F503" s="138"/>
      <c r="G503" s="138"/>
      <c r="H503" s="138"/>
      <c r="I503" s="138"/>
      <c r="J503" s="138"/>
      <c r="K503" s="138"/>
      <c r="L503" s="138"/>
      <c r="M503" s="138"/>
      <c r="N503" s="138"/>
      <c r="O503" s="25"/>
    </row>
    <row r="504">
      <c r="A504" s="138"/>
      <c r="B504" s="25"/>
      <c r="C504" s="25"/>
      <c r="D504" s="138"/>
      <c r="E504" s="138"/>
      <c r="F504" s="138"/>
      <c r="G504" s="138"/>
      <c r="H504" s="138"/>
      <c r="I504" s="138"/>
      <c r="J504" s="138"/>
      <c r="K504" s="138"/>
      <c r="L504" s="138"/>
      <c r="M504" s="138"/>
      <c r="N504" s="138"/>
      <c r="O504" s="25"/>
    </row>
    <row r="505">
      <c r="A505" s="138"/>
      <c r="B505" s="25"/>
      <c r="C505" s="25"/>
      <c r="D505" s="138"/>
      <c r="E505" s="138"/>
      <c r="F505" s="138"/>
      <c r="G505" s="138"/>
      <c r="H505" s="138"/>
      <c r="I505" s="138"/>
      <c r="J505" s="138"/>
      <c r="K505" s="138"/>
      <c r="L505" s="138"/>
      <c r="M505" s="138"/>
      <c r="N505" s="138"/>
      <c r="O505" s="25"/>
    </row>
    <row r="506">
      <c r="A506" s="138"/>
      <c r="B506" s="25"/>
      <c r="C506" s="25"/>
      <c r="D506" s="138"/>
      <c r="E506" s="138"/>
      <c r="F506" s="138"/>
      <c r="G506" s="138"/>
      <c r="H506" s="138"/>
      <c r="I506" s="138"/>
      <c r="J506" s="138"/>
      <c r="K506" s="138"/>
      <c r="L506" s="138"/>
      <c r="M506" s="138"/>
      <c r="N506" s="138"/>
      <c r="O506" s="25"/>
    </row>
    <row r="507">
      <c r="A507" s="138"/>
      <c r="B507" s="25"/>
      <c r="C507" s="25"/>
      <c r="D507" s="138"/>
      <c r="E507" s="138"/>
      <c r="F507" s="138"/>
      <c r="G507" s="138"/>
      <c r="H507" s="138"/>
      <c r="I507" s="138"/>
      <c r="J507" s="138"/>
      <c r="K507" s="138"/>
      <c r="L507" s="138"/>
      <c r="M507" s="138"/>
      <c r="N507" s="138"/>
      <c r="O507" s="25"/>
    </row>
    <row r="508">
      <c r="A508" s="138"/>
      <c r="B508" s="25"/>
      <c r="C508" s="25"/>
      <c r="D508" s="138"/>
      <c r="E508" s="138"/>
      <c r="F508" s="138"/>
      <c r="G508" s="138"/>
      <c r="H508" s="138"/>
      <c r="I508" s="138"/>
      <c r="J508" s="138"/>
      <c r="K508" s="138"/>
      <c r="L508" s="138"/>
      <c r="M508" s="138"/>
      <c r="N508" s="138"/>
      <c r="O508" s="25"/>
    </row>
    <row r="509">
      <c r="A509" s="138"/>
      <c r="B509" s="25"/>
      <c r="C509" s="25"/>
      <c r="D509" s="138"/>
      <c r="E509" s="138"/>
      <c r="F509" s="138"/>
      <c r="G509" s="138"/>
      <c r="H509" s="138"/>
      <c r="I509" s="138"/>
      <c r="J509" s="138"/>
      <c r="K509" s="138"/>
      <c r="L509" s="138"/>
      <c r="M509" s="138"/>
      <c r="N509" s="138"/>
      <c r="O509" s="25"/>
    </row>
    <row r="510">
      <c r="A510" s="138"/>
      <c r="B510" s="25"/>
      <c r="C510" s="25"/>
      <c r="D510" s="138"/>
      <c r="E510" s="138"/>
      <c r="F510" s="138"/>
      <c r="G510" s="138"/>
      <c r="H510" s="138"/>
      <c r="I510" s="138"/>
      <c r="J510" s="138"/>
      <c r="K510" s="138"/>
      <c r="L510" s="138"/>
      <c r="M510" s="138"/>
      <c r="N510" s="138"/>
      <c r="O510" s="25"/>
    </row>
    <row r="511">
      <c r="A511" s="138"/>
      <c r="B511" s="25"/>
      <c r="C511" s="25"/>
      <c r="D511" s="138"/>
      <c r="E511" s="138"/>
      <c r="F511" s="138"/>
      <c r="G511" s="138"/>
      <c r="H511" s="138"/>
      <c r="I511" s="138"/>
      <c r="J511" s="138"/>
      <c r="K511" s="138"/>
      <c r="L511" s="138"/>
      <c r="M511" s="138"/>
      <c r="N511" s="138"/>
      <c r="O511" s="25"/>
    </row>
    <row r="512">
      <c r="A512" s="138"/>
      <c r="B512" s="25"/>
      <c r="C512" s="25"/>
      <c r="D512" s="138"/>
      <c r="E512" s="138"/>
      <c r="F512" s="138"/>
      <c r="G512" s="138"/>
      <c r="H512" s="138"/>
      <c r="I512" s="138"/>
      <c r="J512" s="138"/>
      <c r="K512" s="138"/>
      <c r="L512" s="138"/>
      <c r="M512" s="138"/>
      <c r="N512" s="138"/>
      <c r="O512" s="25"/>
    </row>
    <row r="513">
      <c r="A513" s="138"/>
      <c r="B513" s="25"/>
      <c r="C513" s="25"/>
      <c r="D513" s="138"/>
      <c r="E513" s="138"/>
      <c r="F513" s="138"/>
      <c r="G513" s="138"/>
      <c r="H513" s="138"/>
      <c r="I513" s="138"/>
      <c r="J513" s="138"/>
      <c r="K513" s="138"/>
      <c r="L513" s="138"/>
      <c r="M513" s="138"/>
      <c r="N513" s="138"/>
      <c r="O513" s="25"/>
    </row>
    <row r="514">
      <c r="A514" s="138"/>
      <c r="B514" s="25"/>
      <c r="C514" s="25"/>
      <c r="D514" s="138"/>
      <c r="E514" s="138"/>
      <c r="F514" s="138"/>
      <c r="G514" s="138"/>
      <c r="H514" s="138"/>
      <c r="I514" s="138"/>
      <c r="J514" s="138"/>
      <c r="K514" s="138"/>
      <c r="L514" s="138"/>
      <c r="M514" s="138"/>
      <c r="N514" s="138"/>
      <c r="O514" s="25"/>
    </row>
    <row r="515">
      <c r="A515" s="138"/>
      <c r="B515" s="25"/>
      <c r="C515" s="25"/>
      <c r="D515" s="138"/>
      <c r="E515" s="138"/>
      <c r="F515" s="138"/>
      <c r="G515" s="138"/>
      <c r="H515" s="138"/>
      <c r="I515" s="138"/>
      <c r="J515" s="138"/>
      <c r="K515" s="138"/>
      <c r="L515" s="138"/>
      <c r="M515" s="138"/>
      <c r="N515" s="138"/>
      <c r="O515" s="25"/>
    </row>
    <row r="516">
      <c r="A516" s="138"/>
      <c r="B516" s="25"/>
      <c r="C516" s="25"/>
      <c r="D516" s="138"/>
      <c r="E516" s="138"/>
      <c r="F516" s="138"/>
      <c r="G516" s="138"/>
      <c r="H516" s="138"/>
      <c r="I516" s="138"/>
      <c r="J516" s="138"/>
      <c r="K516" s="138"/>
      <c r="L516" s="138"/>
      <c r="M516" s="138"/>
      <c r="N516" s="138"/>
      <c r="O516" s="25"/>
    </row>
    <row r="517">
      <c r="A517" s="138"/>
      <c r="B517" s="25"/>
      <c r="C517" s="25"/>
      <c r="D517" s="138"/>
      <c r="E517" s="138"/>
      <c r="F517" s="138"/>
      <c r="G517" s="138"/>
      <c r="H517" s="138"/>
      <c r="I517" s="138"/>
      <c r="J517" s="138"/>
      <c r="K517" s="138"/>
      <c r="L517" s="138"/>
      <c r="M517" s="138"/>
      <c r="N517" s="138"/>
      <c r="O517" s="25"/>
    </row>
    <row r="518">
      <c r="A518" s="138"/>
      <c r="B518" s="25"/>
      <c r="C518" s="25"/>
      <c r="D518" s="138"/>
      <c r="E518" s="138"/>
      <c r="F518" s="138"/>
      <c r="G518" s="138"/>
      <c r="H518" s="138"/>
      <c r="I518" s="138"/>
      <c r="J518" s="138"/>
      <c r="K518" s="138"/>
      <c r="L518" s="138"/>
      <c r="M518" s="138"/>
      <c r="N518" s="138"/>
      <c r="O518" s="25"/>
    </row>
    <row r="519">
      <c r="A519" s="138"/>
      <c r="B519" s="25"/>
      <c r="C519" s="25"/>
      <c r="D519" s="138"/>
      <c r="E519" s="138"/>
      <c r="F519" s="138"/>
      <c r="G519" s="138"/>
      <c r="H519" s="138"/>
      <c r="I519" s="138"/>
      <c r="J519" s="138"/>
      <c r="K519" s="138"/>
      <c r="L519" s="138"/>
      <c r="M519" s="138"/>
      <c r="N519" s="138"/>
      <c r="O519" s="25"/>
    </row>
    <row r="520">
      <c r="A520" s="138"/>
      <c r="B520" s="25"/>
      <c r="C520" s="25"/>
      <c r="D520" s="138"/>
      <c r="E520" s="138"/>
      <c r="F520" s="138"/>
      <c r="G520" s="138"/>
      <c r="H520" s="138"/>
      <c r="I520" s="138"/>
      <c r="J520" s="138"/>
      <c r="K520" s="138"/>
      <c r="L520" s="138"/>
      <c r="M520" s="138"/>
      <c r="N520" s="138"/>
      <c r="O520" s="25"/>
    </row>
    <row r="521">
      <c r="A521" s="138"/>
      <c r="B521" s="25"/>
      <c r="C521" s="25"/>
      <c r="D521" s="138"/>
      <c r="E521" s="138"/>
      <c r="F521" s="138"/>
      <c r="G521" s="138"/>
      <c r="H521" s="138"/>
      <c r="I521" s="138"/>
      <c r="J521" s="138"/>
      <c r="K521" s="138"/>
      <c r="L521" s="138"/>
      <c r="M521" s="138"/>
      <c r="N521" s="138"/>
      <c r="O521" s="25"/>
    </row>
    <row r="522">
      <c r="A522" s="138"/>
      <c r="B522" s="25"/>
      <c r="C522" s="25"/>
      <c r="D522" s="138"/>
      <c r="E522" s="138"/>
      <c r="F522" s="138"/>
      <c r="G522" s="138"/>
      <c r="H522" s="138"/>
      <c r="I522" s="138"/>
      <c r="J522" s="138"/>
      <c r="K522" s="138"/>
      <c r="L522" s="138"/>
      <c r="M522" s="138"/>
      <c r="N522" s="138"/>
      <c r="O522" s="25"/>
    </row>
    <row r="523">
      <c r="A523" s="138"/>
      <c r="B523" s="25"/>
      <c r="C523" s="25"/>
      <c r="D523" s="138"/>
      <c r="E523" s="138"/>
      <c r="F523" s="138"/>
      <c r="G523" s="138"/>
      <c r="H523" s="138"/>
      <c r="I523" s="138"/>
      <c r="J523" s="138"/>
      <c r="K523" s="138"/>
      <c r="L523" s="138"/>
      <c r="M523" s="138"/>
      <c r="N523" s="138"/>
      <c r="O523" s="25"/>
    </row>
    <row r="524">
      <c r="A524" s="138"/>
      <c r="B524" s="25"/>
      <c r="C524" s="25"/>
      <c r="D524" s="138"/>
      <c r="E524" s="138"/>
      <c r="F524" s="138"/>
      <c r="G524" s="138"/>
      <c r="H524" s="138"/>
      <c r="I524" s="138"/>
      <c r="J524" s="138"/>
      <c r="K524" s="138"/>
      <c r="L524" s="138"/>
      <c r="M524" s="138"/>
      <c r="N524" s="138"/>
      <c r="O524" s="25"/>
    </row>
    <row r="525">
      <c r="A525" s="138"/>
      <c r="B525" s="25"/>
      <c r="C525" s="25"/>
      <c r="D525" s="138"/>
      <c r="E525" s="138"/>
      <c r="F525" s="138"/>
      <c r="G525" s="138"/>
      <c r="H525" s="138"/>
      <c r="I525" s="138"/>
      <c r="J525" s="138"/>
      <c r="K525" s="138"/>
      <c r="L525" s="138"/>
      <c r="M525" s="138"/>
      <c r="N525" s="138"/>
      <c r="O525" s="25"/>
    </row>
    <row r="526">
      <c r="A526" s="138"/>
      <c r="B526" s="25"/>
      <c r="C526" s="25"/>
      <c r="D526" s="138"/>
      <c r="E526" s="138"/>
      <c r="F526" s="138"/>
      <c r="G526" s="138"/>
      <c r="H526" s="138"/>
      <c r="I526" s="138"/>
      <c r="J526" s="138"/>
      <c r="K526" s="138"/>
      <c r="L526" s="138"/>
      <c r="M526" s="138"/>
      <c r="N526" s="138"/>
      <c r="O526" s="25"/>
    </row>
    <row r="527">
      <c r="A527" s="138"/>
      <c r="B527" s="25"/>
      <c r="C527" s="25"/>
      <c r="D527" s="138"/>
      <c r="E527" s="138"/>
      <c r="F527" s="138"/>
      <c r="G527" s="138"/>
      <c r="H527" s="138"/>
      <c r="I527" s="138"/>
      <c r="J527" s="138"/>
      <c r="K527" s="138"/>
      <c r="L527" s="138"/>
      <c r="M527" s="138"/>
      <c r="N527" s="138"/>
      <c r="O527" s="25"/>
    </row>
    <row r="528">
      <c r="A528" s="138"/>
      <c r="B528" s="25"/>
      <c r="C528" s="25"/>
      <c r="D528" s="138"/>
      <c r="E528" s="138"/>
      <c r="F528" s="138"/>
      <c r="G528" s="138"/>
      <c r="H528" s="138"/>
      <c r="I528" s="138"/>
      <c r="J528" s="138"/>
      <c r="K528" s="138"/>
      <c r="L528" s="138"/>
      <c r="M528" s="138"/>
      <c r="N528" s="138"/>
      <c r="O528" s="25"/>
    </row>
    <row r="529">
      <c r="A529" s="138"/>
      <c r="B529" s="25"/>
      <c r="C529" s="25"/>
      <c r="D529" s="138"/>
      <c r="E529" s="138"/>
      <c r="F529" s="138"/>
      <c r="G529" s="138"/>
      <c r="H529" s="138"/>
      <c r="I529" s="138"/>
      <c r="J529" s="138"/>
      <c r="K529" s="138"/>
      <c r="L529" s="138"/>
      <c r="M529" s="138"/>
      <c r="N529" s="138"/>
      <c r="O529" s="25"/>
    </row>
    <row r="530">
      <c r="A530" s="138"/>
      <c r="B530" s="25"/>
      <c r="C530" s="25"/>
      <c r="D530" s="138"/>
      <c r="E530" s="138"/>
      <c r="F530" s="138"/>
      <c r="G530" s="138"/>
      <c r="H530" s="138"/>
      <c r="I530" s="138"/>
      <c r="J530" s="138"/>
      <c r="K530" s="138"/>
      <c r="L530" s="138"/>
      <c r="M530" s="138"/>
      <c r="N530" s="138"/>
      <c r="O530" s="25"/>
    </row>
    <row r="531">
      <c r="A531" s="138"/>
      <c r="B531" s="25"/>
      <c r="C531" s="25"/>
      <c r="D531" s="138"/>
      <c r="E531" s="138"/>
      <c r="F531" s="138"/>
      <c r="G531" s="138"/>
      <c r="H531" s="138"/>
      <c r="I531" s="138"/>
      <c r="J531" s="138"/>
      <c r="K531" s="138"/>
      <c r="L531" s="138"/>
      <c r="M531" s="138"/>
      <c r="N531" s="138"/>
      <c r="O531" s="25"/>
    </row>
    <row r="532">
      <c r="A532" s="138"/>
      <c r="B532" s="25"/>
      <c r="C532" s="25"/>
      <c r="D532" s="138"/>
      <c r="E532" s="138"/>
      <c r="F532" s="138"/>
      <c r="G532" s="138"/>
      <c r="H532" s="138"/>
      <c r="I532" s="138"/>
      <c r="J532" s="138"/>
      <c r="K532" s="138"/>
      <c r="L532" s="138"/>
      <c r="M532" s="138"/>
      <c r="N532" s="138"/>
      <c r="O532" s="25"/>
    </row>
    <row r="533">
      <c r="A533" s="138"/>
      <c r="B533" s="25"/>
      <c r="C533" s="25"/>
      <c r="D533" s="138"/>
      <c r="E533" s="138"/>
      <c r="F533" s="138"/>
      <c r="G533" s="138"/>
      <c r="H533" s="138"/>
      <c r="I533" s="138"/>
      <c r="J533" s="138"/>
      <c r="K533" s="138"/>
      <c r="L533" s="138"/>
      <c r="M533" s="138"/>
      <c r="N533" s="138"/>
      <c r="O533" s="25"/>
    </row>
    <row r="534">
      <c r="A534" s="138"/>
      <c r="B534" s="25"/>
      <c r="C534" s="25"/>
      <c r="D534" s="138"/>
      <c r="E534" s="138"/>
      <c r="F534" s="138"/>
      <c r="G534" s="138"/>
      <c r="H534" s="138"/>
      <c r="I534" s="138"/>
      <c r="J534" s="138"/>
      <c r="K534" s="138"/>
      <c r="L534" s="138"/>
      <c r="M534" s="138"/>
      <c r="N534" s="138"/>
      <c r="O534" s="25"/>
    </row>
    <row r="535">
      <c r="A535" s="138"/>
      <c r="B535" s="25"/>
      <c r="C535" s="25"/>
      <c r="D535" s="138"/>
      <c r="E535" s="138"/>
      <c r="F535" s="138"/>
      <c r="G535" s="138"/>
      <c r="H535" s="138"/>
      <c r="I535" s="138"/>
      <c r="J535" s="138"/>
      <c r="K535" s="138"/>
      <c r="L535" s="138"/>
      <c r="M535" s="138"/>
      <c r="N535" s="138"/>
      <c r="O535" s="25"/>
    </row>
    <row r="536">
      <c r="A536" s="138"/>
      <c r="B536" s="25"/>
      <c r="C536" s="25"/>
      <c r="D536" s="138"/>
      <c r="E536" s="138"/>
      <c r="F536" s="138"/>
      <c r="G536" s="138"/>
      <c r="H536" s="138"/>
      <c r="I536" s="138"/>
      <c r="J536" s="138"/>
      <c r="K536" s="138"/>
      <c r="L536" s="138"/>
      <c r="M536" s="138"/>
      <c r="N536" s="138"/>
      <c r="O536" s="25"/>
    </row>
    <row r="537">
      <c r="A537" s="138"/>
      <c r="B537" s="25"/>
      <c r="C537" s="25"/>
      <c r="D537" s="138"/>
      <c r="E537" s="138"/>
      <c r="F537" s="138"/>
      <c r="G537" s="138"/>
      <c r="H537" s="138"/>
      <c r="I537" s="138"/>
      <c r="J537" s="138"/>
      <c r="K537" s="138"/>
      <c r="L537" s="138"/>
      <c r="M537" s="138"/>
      <c r="N537" s="138"/>
      <c r="O537" s="25"/>
    </row>
    <row r="538">
      <c r="A538" s="138"/>
      <c r="B538" s="25"/>
      <c r="C538" s="25"/>
      <c r="D538" s="138"/>
      <c r="E538" s="138"/>
      <c r="F538" s="138"/>
      <c r="G538" s="138"/>
      <c r="H538" s="138"/>
      <c r="I538" s="138"/>
      <c r="J538" s="138"/>
      <c r="K538" s="138"/>
      <c r="L538" s="138"/>
      <c r="M538" s="138"/>
      <c r="N538" s="138"/>
      <c r="O538" s="25"/>
    </row>
    <row r="539">
      <c r="A539" s="138"/>
      <c r="B539" s="25"/>
      <c r="C539" s="25"/>
      <c r="D539" s="138"/>
      <c r="E539" s="138"/>
      <c r="F539" s="138"/>
      <c r="G539" s="138"/>
      <c r="H539" s="138"/>
      <c r="I539" s="138"/>
      <c r="J539" s="138"/>
      <c r="K539" s="138"/>
      <c r="L539" s="138"/>
      <c r="M539" s="138"/>
      <c r="N539" s="138"/>
      <c r="O539" s="25"/>
    </row>
    <row r="540">
      <c r="A540" s="138"/>
      <c r="B540" s="25"/>
      <c r="C540" s="25"/>
      <c r="D540" s="138"/>
      <c r="E540" s="138"/>
      <c r="F540" s="138"/>
      <c r="G540" s="138"/>
      <c r="H540" s="138"/>
      <c r="I540" s="138"/>
      <c r="J540" s="138"/>
      <c r="K540" s="138"/>
      <c r="L540" s="138"/>
      <c r="M540" s="138"/>
      <c r="N540" s="138"/>
      <c r="O540" s="25"/>
    </row>
    <row r="541">
      <c r="A541" s="138"/>
      <c r="B541" s="25"/>
      <c r="C541" s="25"/>
      <c r="D541" s="138"/>
      <c r="E541" s="138"/>
      <c r="F541" s="138"/>
      <c r="G541" s="138"/>
      <c r="H541" s="138"/>
      <c r="I541" s="138"/>
      <c r="J541" s="138"/>
      <c r="K541" s="138"/>
      <c r="L541" s="138"/>
      <c r="M541" s="138"/>
      <c r="N541" s="138"/>
      <c r="O541" s="25"/>
    </row>
    <row r="542">
      <c r="A542" s="138"/>
      <c r="B542" s="25"/>
      <c r="C542" s="25"/>
      <c r="D542" s="138"/>
      <c r="E542" s="138"/>
      <c r="F542" s="138"/>
      <c r="G542" s="138"/>
      <c r="H542" s="138"/>
      <c r="I542" s="138"/>
      <c r="J542" s="138"/>
      <c r="K542" s="138"/>
      <c r="L542" s="138"/>
      <c r="M542" s="138"/>
      <c r="N542" s="138"/>
      <c r="O542" s="25"/>
    </row>
    <row r="543">
      <c r="A543" s="138"/>
      <c r="B543" s="25"/>
      <c r="C543" s="25"/>
      <c r="D543" s="138"/>
      <c r="E543" s="138"/>
      <c r="F543" s="138"/>
      <c r="G543" s="138"/>
      <c r="H543" s="138"/>
      <c r="I543" s="138"/>
      <c r="J543" s="138"/>
      <c r="K543" s="138"/>
      <c r="L543" s="138"/>
      <c r="M543" s="138"/>
      <c r="N543" s="138"/>
      <c r="O543" s="25"/>
    </row>
    <row r="544">
      <c r="A544" s="138"/>
      <c r="B544" s="25"/>
      <c r="C544" s="25"/>
      <c r="D544" s="138"/>
      <c r="E544" s="138"/>
      <c r="F544" s="138"/>
      <c r="G544" s="138"/>
      <c r="H544" s="138"/>
      <c r="I544" s="138"/>
      <c r="J544" s="138"/>
      <c r="K544" s="138"/>
      <c r="L544" s="138"/>
      <c r="M544" s="138"/>
      <c r="N544" s="138"/>
      <c r="O544" s="25"/>
    </row>
    <row r="545">
      <c r="A545" s="138"/>
      <c r="B545" s="25"/>
      <c r="C545" s="25"/>
      <c r="D545" s="138"/>
      <c r="E545" s="138"/>
      <c r="F545" s="138"/>
      <c r="G545" s="138"/>
      <c r="H545" s="138"/>
      <c r="I545" s="138"/>
      <c r="J545" s="138"/>
      <c r="K545" s="138"/>
      <c r="L545" s="138"/>
      <c r="M545" s="138"/>
      <c r="N545" s="138"/>
      <c r="O545" s="25"/>
    </row>
    <row r="546">
      <c r="A546" s="138"/>
      <c r="B546" s="25"/>
      <c r="C546" s="25"/>
      <c r="D546" s="138"/>
      <c r="E546" s="138"/>
      <c r="F546" s="138"/>
      <c r="G546" s="138"/>
      <c r="H546" s="138"/>
      <c r="I546" s="138"/>
      <c r="J546" s="138"/>
      <c r="K546" s="138"/>
      <c r="L546" s="138"/>
      <c r="M546" s="138"/>
      <c r="N546" s="138"/>
      <c r="O546" s="25"/>
    </row>
    <row r="547">
      <c r="A547" s="138"/>
      <c r="B547" s="25"/>
      <c r="C547" s="25"/>
      <c r="D547" s="138"/>
      <c r="E547" s="138"/>
      <c r="F547" s="138"/>
      <c r="G547" s="138"/>
      <c r="H547" s="138"/>
      <c r="I547" s="138"/>
      <c r="J547" s="138"/>
      <c r="K547" s="138"/>
      <c r="L547" s="138"/>
      <c r="M547" s="138"/>
      <c r="N547" s="138"/>
      <c r="O547" s="25"/>
    </row>
    <row r="548">
      <c r="A548" s="138"/>
      <c r="B548" s="25"/>
      <c r="C548" s="25"/>
      <c r="D548" s="138"/>
      <c r="E548" s="138"/>
      <c r="F548" s="138"/>
      <c r="G548" s="138"/>
      <c r="H548" s="138"/>
      <c r="I548" s="138"/>
      <c r="J548" s="138"/>
      <c r="K548" s="138"/>
      <c r="L548" s="138"/>
      <c r="M548" s="138"/>
      <c r="N548" s="138"/>
      <c r="O548" s="25"/>
    </row>
    <row r="549">
      <c r="A549" s="138"/>
      <c r="B549" s="25"/>
      <c r="C549" s="25"/>
      <c r="D549" s="138"/>
      <c r="E549" s="138"/>
      <c r="F549" s="138"/>
      <c r="G549" s="138"/>
      <c r="H549" s="138"/>
      <c r="I549" s="138"/>
      <c r="J549" s="138"/>
      <c r="K549" s="138"/>
      <c r="L549" s="138"/>
      <c r="M549" s="138"/>
      <c r="N549" s="138"/>
      <c r="O549" s="25"/>
    </row>
    <row r="550">
      <c r="A550" s="138"/>
      <c r="B550" s="25"/>
      <c r="C550" s="25"/>
      <c r="D550" s="138"/>
      <c r="E550" s="138"/>
      <c r="F550" s="138"/>
      <c r="G550" s="138"/>
      <c r="H550" s="138"/>
      <c r="I550" s="138"/>
      <c r="J550" s="138"/>
      <c r="K550" s="138"/>
      <c r="L550" s="138"/>
      <c r="M550" s="138"/>
      <c r="N550" s="138"/>
      <c r="O550" s="25"/>
    </row>
    <row r="551">
      <c r="A551" s="138"/>
      <c r="B551" s="25"/>
      <c r="C551" s="25"/>
      <c r="D551" s="138"/>
      <c r="E551" s="138"/>
      <c r="F551" s="138"/>
      <c r="G551" s="138"/>
      <c r="H551" s="138"/>
      <c r="I551" s="138"/>
      <c r="J551" s="138"/>
      <c r="K551" s="138"/>
      <c r="L551" s="138"/>
      <c r="M551" s="138"/>
      <c r="N551" s="138"/>
      <c r="O551" s="25"/>
    </row>
    <row r="552">
      <c r="A552" s="138"/>
      <c r="B552" s="25"/>
      <c r="C552" s="25"/>
      <c r="D552" s="138"/>
      <c r="E552" s="138"/>
      <c r="F552" s="138"/>
      <c r="G552" s="138"/>
      <c r="H552" s="138"/>
      <c r="I552" s="138"/>
      <c r="J552" s="138"/>
      <c r="K552" s="138"/>
      <c r="L552" s="138"/>
      <c r="M552" s="138"/>
      <c r="N552" s="138"/>
      <c r="O552" s="25"/>
    </row>
    <row r="553">
      <c r="A553" s="138"/>
      <c r="B553" s="25"/>
      <c r="C553" s="25"/>
      <c r="D553" s="138"/>
      <c r="E553" s="138"/>
      <c r="F553" s="138"/>
      <c r="G553" s="138"/>
      <c r="H553" s="138"/>
      <c r="I553" s="138"/>
      <c r="J553" s="138"/>
      <c r="K553" s="138"/>
      <c r="L553" s="138"/>
      <c r="M553" s="138"/>
      <c r="N553" s="138"/>
      <c r="O553" s="25"/>
    </row>
    <row r="554">
      <c r="A554" s="138"/>
      <c r="B554" s="25"/>
      <c r="C554" s="25"/>
      <c r="D554" s="138"/>
      <c r="E554" s="138"/>
      <c r="F554" s="138"/>
      <c r="G554" s="138"/>
      <c r="H554" s="138"/>
      <c r="I554" s="138"/>
      <c r="J554" s="138"/>
      <c r="K554" s="138"/>
      <c r="L554" s="138"/>
      <c r="M554" s="138"/>
      <c r="N554" s="138"/>
      <c r="O554" s="25"/>
    </row>
    <row r="555">
      <c r="A555" s="138"/>
      <c r="B555" s="25"/>
      <c r="C555" s="25"/>
      <c r="D555" s="138"/>
      <c r="E555" s="138"/>
      <c r="F555" s="138"/>
      <c r="G555" s="138"/>
      <c r="H555" s="138"/>
      <c r="I555" s="138"/>
      <c r="J555" s="138"/>
      <c r="K555" s="138"/>
      <c r="L555" s="138"/>
      <c r="M555" s="138"/>
      <c r="N555" s="138"/>
      <c r="O555" s="25"/>
    </row>
    <row r="556">
      <c r="A556" s="138"/>
      <c r="B556" s="25"/>
      <c r="C556" s="25"/>
      <c r="D556" s="138"/>
      <c r="E556" s="138"/>
      <c r="F556" s="138"/>
      <c r="G556" s="138"/>
      <c r="H556" s="138"/>
      <c r="I556" s="138"/>
      <c r="J556" s="138"/>
      <c r="K556" s="138"/>
      <c r="L556" s="138"/>
      <c r="M556" s="138"/>
      <c r="N556" s="138"/>
      <c r="O556" s="25"/>
    </row>
    <row r="557">
      <c r="A557" s="138"/>
      <c r="B557" s="25"/>
      <c r="C557" s="25"/>
      <c r="D557" s="138"/>
      <c r="E557" s="138"/>
      <c r="F557" s="138"/>
      <c r="G557" s="138"/>
      <c r="H557" s="138"/>
      <c r="I557" s="138"/>
      <c r="J557" s="138"/>
      <c r="K557" s="138"/>
      <c r="L557" s="138"/>
      <c r="M557" s="138"/>
      <c r="N557" s="138"/>
      <c r="O557" s="25"/>
    </row>
    <row r="558">
      <c r="A558" s="138"/>
      <c r="B558" s="25"/>
      <c r="C558" s="25"/>
      <c r="D558" s="138"/>
      <c r="E558" s="138"/>
      <c r="F558" s="138"/>
      <c r="G558" s="138"/>
      <c r="H558" s="138"/>
      <c r="I558" s="138"/>
      <c r="J558" s="138"/>
      <c r="K558" s="138"/>
      <c r="L558" s="138"/>
      <c r="M558" s="138"/>
      <c r="N558" s="138"/>
      <c r="O558" s="25"/>
    </row>
    <row r="559">
      <c r="A559" s="138"/>
      <c r="B559" s="25"/>
      <c r="C559" s="25"/>
      <c r="D559" s="138"/>
      <c r="E559" s="138"/>
      <c r="F559" s="138"/>
      <c r="G559" s="138"/>
      <c r="H559" s="138"/>
      <c r="I559" s="138"/>
      <c r="J559" s="138"/>
      <c r="K559" s="138"/>
      <c r="L559" s="138"/>
      <c r="M559" s="138"/>
      <c r="N559" s="138"/>
      <c r="O559" s="25"/>
    </row>
    <row r="560">
      <c r="A560" s="138"/>
      <c r="B560" s="25"/>
      <c r="C560" s="25"/>
      <c r="D560" s="138"/>
      <c r="E560" s="138"/>
      <c r="F560" s="138"/>
      <c r="G560" s="138"/>
      <c r="H560" s="138"/>
      <c r="I560" s="138"/>
      <c r="J560" s="138"/>
      <c r="K560" s="138"/>
      <c r="L560" s="138"/>
      <c r="M560" s="138"/>
      <c r="N560" s="138"/>
      <c r="O560" s="25"/>
    </row>
    <row r="561">
      <c r="A561" s="138"/>
      <c r="B561" s="25"/>
      <c r="C561" s="25"/>
      <c r="D561" s="138"/>
      <c r="E561" s="138"/>
      <c r="F561" s="138"/>
      <c r="G561" s="138"/>
      <c r="H561" s="138"/>
      <c r="I561" s="138"/>
      <c r="J561" s="138"/>
      <c r="K561" s="138"/>
      <c r="L561" s="138"/>
      <c r="M561" s="138"/>
      <c r="N561" s="138"/>
      <c r="O561" s="25"/>
    </row>
    <row r="562">
      <c r="A562" s="138"/>
      <c r="B562" s="25"/>
      <c r="C562" s="25"/>
      <c r="D562" s="138"/>
      <c r="E562" s="138"/>
      <c r="F562" s="138"/>
      <c r="G562" s="138"/>
      <c r="H562" s="138"/>
      <c r="I562" s="138"/>
      <c r="J562" s="138"/>
      <c r="K562" s="138"/>
      <c r="L562" s="138"/>
      <c r="M562" s="138"/>
      <c r="N562" s="138"/>
      <c r="O562" s="25"/>
    </row>
    <row r="563">
      <c r="A563" s="138"/>
      <c r="B563" s="25"/>
      <c r="C563" s="25"/>
      <c r="D563" s="138"/>
      <c r="E563" s="138"/>
      <c r="F563" s="138"/>
      <c r="G563" s="138"/>
      <c r="H563" s="138"/>
      <c r="I563" s="138"/>
      <c r="J563" s="138"/>
      <c r="K563" s="138"/>
      <c r="L563" s="138"/>
      <c r="M563" s="138"/>
      <c r="N563" s="138"/>
      <c r="O563" s="25"/>
    </row>
    <row r="564">
      <c r="A564" s="138"/>
      <c r="B564" s="25"/>
      <c r="C564" s="25"/>
      <c r="D564" s="138"/>
      <c r="E564" s="138"/>
      <c r="F564" s="138"/>
      <c r="G564" s="138"/>
      <c r="H564" s="138"/>
      <c r="I564" s="138"/>
      <c r="J564" s="138"/>
      <c r="K564" s="138"/>
      <c r="L564" s="138"/>
      <c r="M564" s="138"/>
      <c r="N564" s="138"/>
      <c r="O564" s="25"/>
    </row>
    <row r="565">
      <c r="A565" s="138"/>
      <c r="B565" s="25"/>
      <c r="C565" s="25"/>
      <c r="D565" s="138"/>
      <c r="E565" s="138"/>
      <c r="F565" s="138"/>
      <c r="G565" s="138"/>
      <c r="H565" s="138"/>
      <c r="I565" s="138"/>
      <c r="J565" s="138"/>
      <c r="K565" s="138"/>
      <c r="L565" s="138"/>
      <c r="M565" s="138"/>
      <c r="N565" s="138"/>
      <c r="O565" s="25"/>
    </row>
    <row r="566">
      <c r="A566" s="138"/>
      <c r="B566" s="25"/>
      <c r="C566" s="25"/>
      <c r="D566" s="138"/>
      <c r="E566" s="138"/>
      <c r="F566" s="138"/>
      <c r="G566" s="138"/>
      <c r="H566" s="138"/>
      <c r="I566" s="138"/>
      <c r="J566" s="138"/>
      <c r="K566" s="138"/>
      <c r="L566" s="138"/>
      <c r="M566" s="138"/>
      <c r="N566" s="138"/>
      <c r="O566" s="25"/>
    </row>
    <row r="567">
      <c r="A567" s="138"/>
      <c r="B567" s="25"/>
      <c r="C567" s="25"/>
      <c r="D567" s="138"/>
      <c r="E567" s="138"/>
      <c r="F567" s="138"/>
      <c r="G567" s="138"/>
      <c r="H567" s="138"/>
      <c r="I567" s="138"/>
      <c r="J567" s="138"/>
      <c r="K567" s="138"/>
      <c r="L567" s="138"/>
      <c r="M567" s="138"/>
      <c r="N567" s="138"/>
      <c r="O567" s="25"/>
    </row>
    <row r="568">
      <c r="A568" s="138"/>
      <c r="B568" s="25"/>
      <c r="C568" s="25"/>
      <c r="D568" s="138"/>
      <c r="E568" s="138"/>
      <c r="F568" s="138"/>
      <c r="G568" s="138"/>
      <c r="H568" s="138"/>
      <c r="I568" s="138"/>
      <c r="J568" s="138"/>
      <c r="K568" s="138"/>
      <c r="L568" s="138"/>
      <c r="M568" s="138"/>
      <c r="N568" s="138"/>
      <c r="O568" s="25"/>
    </row>
    <row r="569">
      <c r="A569" s="138"/>
      <c r="B569" s="25"/>
      <c r="C569" s="25"/>
      <c r="D569" s="138"/>
      <c r="E569" s="138"/>
      <c r="F569" s="138"/>
      <c r="G569" s="138"/>
      <c r="H569" s="138"/>
      <c r="I569" s="138"/>
      <c r="J569" s="138"/>
      <c r="K569" s="138"/>
      <c r="L569" s="138"/>
      <c r="M569" s="138"/>
      <c r="N569" s="138"/>
      <c r="O569" s="25"/>
    </row>
    <row r="570">
      <c r="A570" s="138"/>
      <c r="B570" s="25"/>
      <c r="C570" s="25"/>
      <c r="D570" s="138"/>
      <c r="E570" s="138"/>
      <c r="F570" s="138"/>
      <c r="G570" s="138"/>
      <c r="H570" s="138"/>
      <c r="I570" s="138"/>
      <c r="J570" s="138"/>
      <c r="K570" s="138"/>
      <c r="L570" s="138"/>
      <c r="M570" s="138"/>
      <c r="N570" s="138"/>
      <c r="O570" s="25"/>
    </row>
    <row r="571">
      <c r="A571" s="138"/>
      <c r="B571" s="25"/>
      <c r="C571" s="25"/>
      <c r="D571" s="138"/>
      <c r="E571" s="138"/>
      <c r="F571" s="138"/>
      <c r="G571" s="138"/>
      <c r="H571" s="138"/>
      <c r="I571" s="138"/>
      <c r="J571" s="138"/>
      <c r="K571" s="138"/>
      <c r="L571" s="138"/>
      <c r="M571" s="138"/>
      <c r="N571" s="138"/>
      <c r="O571" s="25"/>
    </row>
    <row r="572">
      <c r="A572" s="138"/>
      <c r="B572" s="25"/>
      <c r="C572" s="25"/>
      <c r="D572" s="138"/>
      <c r="E572" s="138"/>
      <c r="F572" s="138"/>
      <c r="G572" s="138"/>
      <c r="H572" s="138"/>
      <c r="I572" s="138"/>
      <c r="J572" s="138"/>
      <c r="K572" s="138"/>
      <c r="L572" s="138"/>
      <c r="M572" s="138"/>
      <c r="N572" s="138"/>
      <c r="O572" s="25"/>
    </row>
    <row r="573">
      <c r="A573" s="138"/>
      <c r="B573" s="25"/>
      <c r="C573" s="25"/>
      <c r="D573" s="138"/>
      <c r="E573" s="138"/>
      <c r="F573" s="138"/>
      <c r="G573" s="138"/>
      <c r="H573" s="138"/>
      <c r="I573" s="138"/>
      <c r="J573" s="138"/>
      <c r="K573" s="138"/>
      <c r="L573" s="138"/>
      <c r="M573" s="138"/>
      <c r="N573" s="138"/>
      <c r="O573" s="25"/>
    </row>
    <row r="574">
      <c r="A574" s="138"/>
      <c r="B574" s="25"/>
      <c r="C574" s="25"/>
      <c r="D574" s="138"/>
      <c r="E574" s="138"/>
      <c r="F574" s="138"/>
      <c r="G574" s="138"/>
      <c r="H574" s="138"/>
      <c r="I574" s="138"/>
      <c r="J574" s="138"/>
      <c r="K574" s="138"/>
      <c r="L574" s="138"/>
      <c r="M574" s="138"/>
      <c r="N574" s="138"/>
      <c r="O574" s="25"/>
    </row>
    <row r="575">
      <c r="A575" s="138"/>
      <c r="B575" s="25"/>
      <c r="C575" s="25"/>
      <c r="D575" s="138"/>
      <c r="E575" s="138"/>
      <c r="F575" s="138"/>
      <c r="G575" s="138"/>
      <c r="H575" s="138"/>
      <c r="I575" s="138"/>
      <c r="J575" s="138"/>
      <c r="K575" s="138"/>
      <c r="L575" s="138"/>
      <c r="M575" s="138"/>
      <c r="N575" s="138"/>
      <c r="O575" s="25"/>
    </row>
    <row r="576">
      <c r="A576" s="138"/>
      <c r="B576" s="25"/>
      <c r="C576" s="25"/>
      <c r="D576" s="138"/>
      <c r="E576" s="138"/>
      <c r="F576" s="138"/>
      <c r="G576" s="138"/>
      <c r="H576" s="138"/>
      <c r="I576" s="138"/>
      <c r="J576" s="138"/>
      <c r="K576" s="138"/>
      <c r="L576" s="138"/>
      <c r="M576" s="138"/>
      <c r="N576" s="138"/>
      <c r="O576" s="25"/>
    </row>
    <row r="577">
      <c r="A577" s="138"/>
      <c r="B577" s="25"/>
      <c r="C577" s="25"/>
      <c r="D577" s="138"/>
      <c r="E577" s="138"/>
      <c r="F577" s="138"/>
      <c r="G577" s="138"/>
      <c r="H577" s="138"/>
      <c r="I577" s="138"/>
      <c r="J577" s="138"/>
      <c r="K577" s="138"/>
      <c r="L577" s="138"/>
      <c r="M577" s="138"/>
      <c r="N577" s="138"/>
      <c r="O577" s="25"/>
    </row>
    <row r="578">
      <c r="A578" s="138"/>
      <c r="B578" s="25"/>
      <c r="C578" s="25"/>
      <c r="D578" s="138"/>
      <c r="E578" s="138"/>
      <c r="F578" s="138"/>
      <c r="G578" s="138"/>
      <c r="H578" s="138"/>
      <c r="I578" s="138"/>
      <c r="J578" s="138"/>
      <c r="K578" s="138"/>
      <c r="L578" s="138"/>
      <c r="M578" s="138"/>
      <c r="N578" s="138"/>
      <c r="O578" s="25"/>
    </row>
    <row r="579">
      <c r="A579" s="138"/>
      <c r="B579" s="25"/>
      <c r="C579" s="25"/>
      <c r="D579" s="138"/>
      <c r="E579" s="138"/>
      <c r="F579" s="138"/>
      <c r="G579" s="138"/>
      <c r="H579" s="138"/>
      <c r="I579" s="138"/>
      <c r="J579" s="138"/>
      <c r="K579" s="138"/>
      <c r="L579" s="138"/>
      <c r="M579" s="138"/>
      <c r="N579" s="138"/>
      <c r="O579" s="25"/>
    </row>
    <row r="580">
      <c r="A580" s="138"/>
      <c r="B580" s="25"/>
      <c r="C580" s="25"/>
      <c r="D580" s="138"/>
      <c r="E580" s="138"/>
      <c r="F580" s="138"/>
      <c r="G580" s="138"/>
      <c r="H580" s="138"/>
      <c r="I580" s="138"/>
      <c r="J580" s="138"/>
      <c r="K580" s="138"/>
      <c r="L580" s="138"/>
      <c r="M580" s="138"/>
      <c r="N580" s="138"/>
      <c r="O580" s="25"/>
    </row>
    <row r="581">
      <c r="A581" s="138"/>
      <c r="B581" s="25"/>
      <c r="C581" s="25"/>
      <c r="D581" s="138"/>
      <c r="E581" s="138"/>
      <c r="F581" s="138"/>
      <c r="G581" s="138"/>
      <c r="H581" s="138"/>
      <c r="I581" s="138"/>
      <c r="J581" s="138"/>
      <c r="K581" s="138"/>
      <c r="L581" s="138"/>
      <c r="M581" s="138"/>
      <c r="N581" s="138"/>
      <c r="O581" s="25"/>
    </row>
    <row r="582">
      <c r="A582" s="138"/>
      <c r="B582" s="25"/>
      <c r="C582" s="25"/>
      <c r="D582" s="138"/>
      <c r="E582" s="138"/>
      <c r="F582" s="138"/>
      <c r="G582" s="138"/>
      <c r="H582" s="138"/>
      <c r="I582" s="138"/>
      <c r="J582" s="138"/>
      <c r="K582" s="138"/>
      <c r="L582" s="138"/>
      <c r="M582" s="138"/>
      <c r="N582" s="138"/>
      <c r="O582" s="25"/>
    </row>
    <row r="583">
      <c r="A583" s="138"/>
      <c r="B583" s="25"/>
      <c r="C583" s="25"/>
      <c r="D583" s="138"/>
      <c r="E583" s="138"/>
      <c r="F583" s="138"/>
      <c r="G583" s="138"/>
      <c r="H583" s="138"/>
      <c r="I583" s="138"/>
      <c r="J583" s="138"/>
      <c r="K583" s="138"/>
      <c r="L583" s="138"/>
      <c r="M583" s="138"/>
      <c r="N583" s="138"/>
      <c r="O583" s="25"/>
    </row>
    <row r="584">
      <c r="A584" s="138"/>
      <c r="B584" s="25"/>
      <c r="C584" s="25"/>
      <c r="D584" s="138"/>
      <c r="E584" s="138"/>
      <c r="F584" s="138"/>
      <c r="G584" s="138"/>
      <c r="H584" s="138"/>
      <c r="I584" s="138"/>
      <c r="J584" s="138"/>
      <c r="K584" s="138"/>
      <c r="L584" s="138"/>
      <c r="M584" s="138"/>
      <c r="N584" s="138"/>
      <c r="O584" s="25"/>
    </row>
    <row r="585">
      <c r="A585" s="138"/>
      <c r="B585" s="25"/>
      <c r="C585" s="25"/>
      <c r="D585" s="138"/>
      <c r="E585" s="138"/>
      <c r="F585" s="138"/>
      <c r="G585" s="138"/>
      <c r="H585" s="138"/>
      <c r="I585" s="138"/>
      <c r="J585" s="138"/>
      <c r="K585" s="138"/>
      <c r="L585" s="138"/>
      <c r="M585" s="138"/>
      <c r="N585" s="138"/>
      <c r="O585" s="25"/>
    </row>
    <row r="586">
      <c r="A586" s="138"/>
      <c r="B586" s="25"/>
      <c r="C586" s="25"/>
      <c r="D586" s="138"/>
      <c r="E586" s="138"/>
      <c r="F586" s="138"/>
      <c r="G586" s="138"/>
      <c r="H586" s="138"/>
      <c r="I586" s="138"/>
      <c r="J586" s="138"/>
      <c r="K586" s="138"/>
      <c r="L586" s="138"/>
      <c r="M586" s="138"/>
      <c r="N586" s="138"/>
      <c r="O586" s="25"/>
    </row>
    <row r="587">
      <c r="A587" s="138"/>
      <c r="B587" s="25"/>
      <c r="C587" s="25"/>
      <c r="D587" s="138"/>
      <c r="E587" s="138"/>
      <c r="F587" s="138"/>
      <c r="G587" s="138"/>
      <c r="H587" s="138"/>
      <c r="I587" s="138"/>
      <c r="J587" s="138"/>
      <c r="K587" s="138"/>
      <c r="L587" s="138"/>
      <c r="M587" s="138"/>
      <c r="N587" s="138"/>
      <c r="O587" s="25"/>
    </row>
    <row r="588">
      <c r="A588" s="138"/>
      <c r="B588" s="25"/>
      <c r="C588" s="25"/>
      <c r="D588" s="138"/>
      <c r="E588" s="138"/>
      <c r="F588" s="138"/>
      <c r="G588" s="138"/>
      <c r="H588" s="138"/>
      <c r="I588" s="138"/>
      <c r="J588" s="138"/>
      <c r="K588" s="138"/>
      <c r="L588" s="138"/>
      <c r="M588" s="138"/>
      <c r="N588" s="138"/>
      <c r="O588" s="25"/>
    </row>
    <row r="589">
      <c r="A589" s="138"/>
      <c r="B589" s="25"/>
      <c r="C589" s="25"/>
      <c r="D589" s="138"/>
      <c r="E589" s="138"/>
      <c r="F589" s="138"/>
      <c r="G589" s="138"/>
      <c r="H589" s="138"/>
      <c r="I589" s="138"/>
      <c r="J589" s="138"/>
      <c r="K589" s="138"/>
      <c r="L589" s="138"/>
      <c r="M589" s="138"/>
      <c r="N589" s="138"/>
      <c r="O589" s="25"/>
    </row>
    <row r="590">
      <c r="A590" s="138"/>
      <c r="B590" s="25"/>
      <c r="C590" s="25"/>
      <c r="D590" s="138"/>
      <c r="E590" s="138"/>
      <c r="F590" s="138"/>
      <c r="G590" s="138"/>
      <c r="H590" s="138"/>
      <c r="I590" s="138"/>
      <c r="J590" s="138"/>
      <c r="K590" s="138"/>
      <c r="L590" s="138"/>
      <c r="M590" s="138"/>
      <c r="N590" s="138"/>
      <c r="O590" s="25"/>
    </row>
    <row r="591">
      <c r="A591" s="138"/>
      <c r="B591" s="25"/>
      <c r="C591" s="25"/>
      <c r="D591" s="138"/>
      <c r="E591" s="138"/>
      <c r="F591" s="138"/>
      <c r="G591" s="138"/>
      <c r="H591" s="138"/>
      <c r="I591" s="138"/>
      <c r="J591" s="138"/>
      <c r="K591" s="138"/>
      <c r="L591" s="138"/>
      <c r="M591" s="138"/>
      <c r="N591" s="138"/>
      <c r="O591" s="25"/>
    </row>
    <row r="592">
      <c r="A592" s="138"/>
      <c r="B592" s="25"/>
      <c r="C592" s="25"/>
      <c r="D592" s="138"/>
      <c r="E592" s="138"/>
      <c r="F592" s="138"/>
      <c r="G592" s="138"/>
      <c r="H592" s="138"/>
      <c r="I592" s="138"/>
      <c r="J592" s="138"/>
      <c r="K592" s="138"/>
      <c r="L592" s="138"/>
      <c r="M592" s="138"/>
      <c r="N592" s="138"/>
      <c r="O592" s="25"/>
    </row>
    <row r="593">
      <c r="A593" s="138"/>
      <c r="B593" s="25"/>
      <c r="C593" s="25"/>
      <c r="D593" s="138"/>
      <c r="E593" s="138"/>
      <c r="F593" s="138"/>
      <c r="G593" s="138"/>
      <c r="H593" s="138"/>
      <c r="I593" s="138"/>
      <c r="J593" s="138"/>
      <c r="K593" s="138"/>
      <c r="L593" s="138"/>
      <c r="M593" s="138"/>
      <c r="N593" s="138"/>
      <c r="O593" s="25"/>
    </row>
    <row r="594">
      <c r="A594" s="138"/>
      <c r="B594" s="25"/>
      <c r="C594" s="25"/>
      <c r="D594" s="138"/>
      <c r="E594" s="138"/>
      <c r="F594" s="138"/>
      <c r="G594" s="138"/>
      <c r="H594" s="138"/>
      <c r="I594" s="138"/>
      <c r="J594" s="138"/>
      <c r="K594" s="138"/>
      <c r="L594" s="138"/>
      <c r="M594" s="138"/>
      <c r="N594" s="138"/>
      <c r="O594" s="25"/>
    </row>
    <row r="595">
      <c r="A595" s="138"/>
      <c r="B595" s="25"/>
      <c r="C595" s="25"/>
      <c r="D595" s="138"/>
      <c r="E595" s="138"/>
      <c r="F595" s="138"/>
      <c r="G595" s="138"/>
      <c r="H595" s="138"/>
      <c r="I595" s="138"/>
      <c r="J595" s="138"/>
      <c r="K595" s="138"/>
      <c r="L595" s="138"/>
      <c r="M595" s="138"/>
      <c r="N595" s="138"/>
      <c r="O595" s="25"/>
    </row>
    <row r="596">
      <c r="A596" s="138"/>
      <c r="B596" s="25"/>
      <c r="C596" s="25"/>
      <c r="D596" s="138"/>
      <c r="E596" s="138"/>
      <c r="F596" s="138"/>
      <c r="G596" s="138"/>
      <c r="H596" s="138"/>
      <c r="I596" s="138"/>
      <c r="J596" s="138"/>
      <c r="K596" s="138"/>
      <c r="L596" s="138"/>
      <c r="M596" s="138"/>
      <c r="N596" s="138"/>
      <c r="O596" s="25"/>
    </row>
    <row r="597">
      <c r="A597" s="138"/>
      <c r="B597" s="25"/>
      <c r="C597" s="25"/>
      <c r="D597" s="138"/>
      <c r="E597" s="138"/>
      <c r="F597" s="138"/>
      <c r="G597" s="138"/>
      <c r="H597" s="138"/>
      <c r="I597" s="138"/>
      <c r="J597" s="138"/>
      <c r="K597" s="138"/>
      <c r="L597" s="138"/>
      <c r="M597" s="138"/>
      <c r="N597" s="138"/>
      <c r="O597" s="25"/>
    </row>
    <row r="598">
      <c r="A598" s="138"/>
      <c r="B598" s="25"/>
      <c r="C598" s="25"/>
      <c r="D598" s="138"/>
      <c r="E598" s="138"/>
      <c r="F598" s="138"/>
      <c r="G598" s="138"/>
      <c r="H598" s="138"/>
      <c r="I598" s="138"/>
      <c r="J598" s="138"/>
      <c r="K598" s="138"/>
      <c r="L598" s="138"/>
      <c r="M598" s="138"/>
      <c r="N598" s="138"/>
      <c r="O598" s="25"/>
    </row>
    <row r="599">
      <c r="A599" s="138"/>
      <c r="B599" s="25"/>
      <c r="C599" s="25"/>
      <c r="D599" s="138"/>
      <c r="E599" s="138"/>
      <c r="F599" s="138"/>
      <c r="G599" s="138"/>
      <c r="H599" s="138"/>
      <c r="I599" s="138"/>
      <c r="J599" s="138"/>
      <c r="K599" s="138"/>
      <c r="L599" s="138"/>
      <c r="M599" s="138"/>
      <c r="N599" s="138"/>
      <c r="O599" s="25"/>
    </row>
    <row r="600">
      <c r="A600" s="138"/>
      <c r="B600" s="25"/>
      <c r="C600" s="25"/>
      <c r="D600" s="138"/>
      <c r="E600" s="138"/>
      <c r="F600" s="138"/>
      <c r="G600" s="138"/>
      <c r="H600" s="138"/>
      <c r="I600" s="138"/>
      <c r="J600" s="138"/>
      <c r="K600" s="138"/>
      <c r="L600" s="138"/>
      <c r="M600" s="138"/>
      <c r="N600" s="138"/>
      <c r="O600" s="25"/>
    </row>
    <row r="601">
      <c r="A601" s="138"/>
      <c r="B601" s="25"/>
      <c r="C601" s="25"/>
      <c r="D601" s="138"/>
      <c r="E601" s="138"/>
      <c r="F601" s="138"/>
      <c r="G601" s="138"/>
      <c r="H601" s="138"/>
      <c r="I601" s="138"/>
      <c r="J601" s="138"/>
      <c r="K601" s="138"/>
      <c r="L601" s="138"/>
      <c r="M601" s="138"/>
      <c r="N601" s="138"/>
      <c r="O601" s="25"/>
    </row>
    <row r="602">
      <c r="A602" s="138"/>
      <c r="B602" s="25"/>
      <c r="C602" s="25"/>
      <c r="D602" s="138"/>
      <c r="E602" s="138"/>
      <c r="F602" s="138"/>
      <c r="G602" s="138"/>
      <c r="H602" s="138"/>
      <c r="I602" s="138"/>
      <c r="J602" s="138"/>
      <c r="K602" s="138"/>
      <c r="L602" s="138"/>
      <c r="M602" s="138"/>
      <c r="N602" s="138"/>
      <c r="O602" s="25"/>
    </row>
    <row r="603">
      <c r="A603" s="138"/>
      <c r="B603" s="25"/>
      <c r="C603" s="25"/>
      <c r="D603" s="138"/>
      <c r="E603" s="138"/>
      <c r="F603" s="138"/>
      <c r="G603" s="138"/>
      <c r="H603" s="138"/>
      <c r="I603" s="138"/>
      <c r="J603" s="138"/>
      <c r="K603" s="138"/>
      <c r="L603" s="138"/>
      <c r="M603" s="138"/>
      <c r="N603" s="138"/>
      <c r="O603" s="25"/>
    </row>
    <row r="604">
      <c r="A604" s="138"/>
      <c r="B604" s="25"/>
      <c r="C604" s="25"/>
      <c r="D604" s="138"/>
      <c r="E604" s="138"/>
      <c r="F604" s="138"/>
      <c r="G604" s="138"/>
      <c r="H604" s="138"/>
      <c r="I604" s="138"/>
      <c r="J604" s="138"/>
      <c r="K604" s="138"/>
      <c r="L604" s="138"/>
      <c r="M604" s="138"/>
      <c r="N604" s="138"/>
      <c r="O604" s="25"/>
    </row>
    <row r="605">
      <c r="A605" s="138"/>
      <c r="B605" s="25"/>
      <c r="C605" s="25"/>
      <c r="D605" s="138"/>
      <c r="E605" s="138"/>
      <c r="F605" s="138"/>
      <c r="G605" s="138"/>
      <c r="H605" s="138"/>
      <c r="I605" s="138"/>
      <c r="J605" s="138"/>
      <c r="K605" s="138"/>
      <c r="L605" s="138"/>
      <c r="M605" s="138"/>
      <c r="N605" s="138"/>
      <c r="O605" s="25"/>
    </row>
    <row r="606">
      <c r="A606" s="138"/>
      <c r="B606" s="25"/>
      <c r="C606" s="25"/>
      <c r="D606" s="138"/>
      <c r="E606" s="138"/>
      <c r="F606" s="138"/>
      <c r="G606" s="138"/>
      <c r="H606" s="138"/>
      <c r="I606" s="138"/>
      <c r="J606" s="138"/>
      <c r="K606" s="138"/>
      <c r="L606" s="138"/>
      <c r="M606" s="138"/>
      <c r="N606" s="138"/>
      <c r="O606" s="25"/>
    </row>
    <row r="607">
      <c r="A607" s="138"/>
      <c r="B607" s="25"/>
      <c r="C607" s="25"/>
      <c r="D607" s="138"/>
      <c r="E607" s="138"/>
      <c r="F607" s="138"/>
      <c r="G607" s="138"/>
      <c r="H607" s="138"/>
      <c r="I607" s="138"/>
      <c r="J607" s="138"/>
      <c r="K607" s="138"/>
      <c r="L607" s="138"/>
      <c r="M607" s="138"/>
      <c r="N607" s="138"/>
      <c r="O607" s="25"/>
    </row>
    <row r="608">
      <c r="A608" s="138"/>
      <c r="B608" s="25"/>
      <c r="C608" s="25"/>
      <c r="D608" s="138"/>
      <c r="E608" s="138"/>
      <c r="F608" s="138"/>
      <c r="G608" s="138"/>
      <c r="H608" s="138"/>
      <c r="I608" s="138"/>
      <c r="J608" s="138"/>
      <c r="K608" s="138"/>
      <c r="L608" s="138"/>
      <c r="M608" s="138"/>
      <c r="N608" s="138"/>
      <c r="O608" s="25"/>
    </row>
    <row r="609">
      <c r="A609" s="138"/>
      <c r="B609" s="25"/>
      <c r="C609" s="25"/>
      <c r="D609" s="138"/>
      <c r="E609" s="138"/>
      <c r="F609" s="138"/>
      <c r="G609" s="138"/>
      <c r="H609" s="138"/>
      <c r="I609" s="138"/>
      <c r="J609" s="138"/>
      <c r="K609" s="138"/>
      <c r="L609" s="138"/>
      <c r="M609" s="138"/>
      <c r="N609" s="138"/>
      <c r="O609" s="25"/>
    </row>
    <row r="610">
      <c r="A610" s="138"/>
      <c r="B610" s="25"/>
      <c r="C610" s="25"/>
      <c r="D610" s="138"/>
      <c r="E610" s="138"/>
      <c r="F610" s="138"/>
      <c r="G610" s="138"/>
      <c r="H610" s="138"/>
      <c r="I610" s="138"/>
      <c r="J610" s="138"/>
      <c r="K610" s="138"/>
      <c r="L610" s="138"/>
      <c r="M610" s="138"/>
      <c r="N610" s="138"/>
      <c r="O610" s="25"/>
    </row>
    <row r="611">
      <c r="A611" s="138"/>
      <c r="B611" s="25"/>
      <c r="C611" s="25"/>
      <c r="D611" s="138"/>
      <c r="E611" s="138"/>
      <c r="F611" s="138"/>
      <c r="G611" s="138"/>
      <c r="H611" s="138"/>
      <c r="I611" s="138"/>
      <c r="J611" s="138"/>
      <c r="K611" s="138"/>
      <c r="L611" s="138"/>
      <c r="M611" s="138"/>
      <c r="N611" s="138"/>
      <c r="O611" s="25"/>
    </row>
    <row r="612">
      <c r="A612" s="138"/>
      <c r="B612" s="25"/>
      <c r="C612" s="25"/>
      <c r="D612" s="138"/>
      <c r="E612" s="138"/>
      <c r="F612" s="138"/>
      <c r="G612" s="138"/>
      <c r="H612" s="138"/>
      <c r="I612" s="138"/>
      <c r="J612" s="138"/>
      <c r="K612" s="138"/>
      <c r="L612" s="138"/>
      <c r="M612" s="138"/>
      <c r="N612" s="138"/>
      <c r="O612" s="25"/>
    </row>
    <row r="613">
      <c r="A613" s="138"/>
      <c r="B613" s="25"/>
      <c r="C613" s="25"/>
      <c r="D613" s="138"/>
      <c r="E613" s="138"/>
      <c r="F613" s="138"/>
      <c r="G613" s="138"/>
      <c r="H613" s="138"/>
      <c r="I613" s="138"/>
      <c r="J613" s="138"/>
      <c r="K613" s="138"/>
      <c r="L613" s="138"/>
      <c r="M613" s="138"/>
      <c r="N613" s="138"/>
      <c r="O613" s="25"/>
    </row>
    <row r="614">
      <c r="A614" s="138"/>
      <c r="B614" s="25"/>
      <c r="C614" s="25"/>
      <c r="D614" s="138"/>
      <c r="E614" s="138"/>
      <c r="F614" s="138"/>
      <c r="G614" s="138"/>
      <c r="H614" s="138"/>
      <c r="I614" s="138"/>
      <c r="J614" s="138"/>
      <c r="K614" s="138"/>
      <c r="L614" s="138"/>
      <c r="M614" s="138"/>
      <c r="N614" s="138"/>
      <c r="O614" s="25"/>
    </row>
    <row r="615">
      <c r="A615" s="138"/>
      <c r="B615" s="25"/>
      <c r="C615" s="25"/>
      <c r="D615" s="138"/>
      <c r="E615" s="138"/>
      <c r="F615" s="138"/>
      <c r="G615" s="138"/>
      <c r="H615" s="138"/>
      <c r="I615" s="138"/>
      <c r="J615" s="138"/>
      <c r="K615" s="138"/>
      <c r="L615" s="138"/>
      <c r="M615" s="138"/>
      <c r="N615" s="138"/>
      <c r="O615" s="25"/>
    </row>
    <row r="616">
      <c r="A616" s="138"/>
      <c r="B616" s="25"/>
      <c r="C616" s="25"/>
      <c r="D616" s="138"/>
      <c r="E616" s="138"/>
      <c r="F616" s="138"/>
      <c r="G616" s="138"/>
      <c r="H616" s="138"/>
      <c r="I616" s="138"/>
      <c r="J616" s="138"/>
      <c r="K616" s="138"/>
      <c r="L616" s="138"/>
      <c r="M616" s="138"/>
      <c r="N616" s="138"/>
      <c r="O616" s="25"/>
    </row>
    <row r="617">
      <c r="A617" s="138"/>
      <c r="B617" s="25"/>
      <c r="C617" s="25"/>
      <c r="D617" s="138"/>
      <c r="E617" s="138"/>
      <c r="F617" s="138"/>
      <c r="G617" s="138"/>
      <c r="H617" s="138"/>
      <c r="I617" s="138"/>
      <c r="J617" s="138"/>
      <c r="K617" s="138"/>
      <c r="L617" s="138"/>
      <c r="M617" s="138"/>
      <c r="N617" s="138"/>
      <c r="O617" s="25"/>
    </row>
    <row r="618">
      <c r="A618" s="138"/>
      <c r="B618" s="25"/>
      <c r="C618" s="25"/>
      <c r="D618" s="138"/>
      <c r="E618" s="138"/>
      <c r="F618" s="138"/>
      <c r="G618" s="138"/>
      <c r="H618" s="138"/>
      <c r="I618" s="138"/>
      <c r="J618" s="138"/>
      <c r="K618" s="138"/>
      <c r="L618" s="138"/>
      <c r="M618" s="138"/>
      <c r="N618" s="138"/>
      <c r="O618" s="25"/>
    </row>
    <row r="619">
      <c r="A619" s="138"/>
      <c r="B619" s="25"/>
      <c r="C619" s="25"/>
      <c r="D619" s="138"/>
      <c r="E619" s="138"/>
      <c r="F619" s="138"/>
      <c r="G619" s="138"/>
      <c r="H619" s="138"/>
      <c r="I619" s="138"/>
      <c r="J619" s="138"/>
      <c r="K619" s="138"/>
      <c r="L619" s="138"/>
      <c r="M619" s="138"/>
      <c r="N619" s="138"/>
      <c r="O619" s="25"/>
    </row>
    <row r="620">
      <c r="A620" s="138"/>
      <c r="B620" s="25"/>
      <c r="C620" s="25"/>
      <c r="D620" s="138"/>
      <c r="E620" s="138"/>
      <c r="F620" s="138"/>
      <c r="G620" s="138"/>
      <c r="H620" s="138"/>
      <c r="I620" s="138"/>
      <c r="J620" s="138"/>
      <c r="K620" s="138"/>
      <c r="L620" s="138"/>
      <c r="M620" s="138"/>
      <c r="N620" s="138"/>
      <c r="O620" s="25"/>
    </row>
    <row r="621">
      <c r="A621" s="138"/>
      <c r="B621" s="25"/>
      <c r="C621" s="25"/>
      <c r="D621" s="138"/>
      <c r="E621" s="138"/>
      <c r="F621" s="138"/>
      <c r="G621" s="138"/>
      <c r="H621" s="138"/>
      <c r="I621" s="138"/>
      <c r="J621" s="138"/>
      <c r="K621" s="138"/>
      <c r="L621" s="138"/>
      <c r="M621" s="138"/>
      <c r="N621" s="138"/>
      <c r="O621" s="25"/>
    </row>
    <row r="622">
      <c r="A622" s="138"/>
      <c r="B622" s="25"/>
      <c r="C622" s="25"/>
      <c r="D622" s="138"/>
      <c r="E622" s="138"/>
      <c r="F622" s="138"/>
      <c r="G622" s="138"/>
      <c r="H622" s="138"/>
      <c r="I622" s="138"/>
      <c r="J622" s="138"/>
      <c r="K622" s="138"/>
      <c r="L622" s="138"/>
      <c r="M622" s="138"/>
      <c r="N622" s="138"/>
      <c r="O622" s="25"/>
    </row>
    <row r="623">
      <c r="A623" s="138"/>
      <c r="B623" s="25"/>
      <c r="C623" s="25"/>
      <c r="D623" s="138"/>
      <c r="E623" s="138"/>
      <c r="F623" s="138"/>
      <c r="G623" s="138"/>
      <c r="H623" s="138"/>
      <c r="I623" s="138"/>
      <c r="J623" s="138"/>
      <c r="K623" s="138"/>
      <c r="L623" s="138"/>
      <c r="M623" s="138"/>
      <c r="N623" s="138"/>
      <c r="O623" s="25"/>
    </row>
    <row r="624">
      <c r="A624" s="138"/>
      <c r="B624" s="25"/>
      <c r="C624" s="25"/>
      <c r="D624" s="138"/>
      <c r="E624" s="138"/>
      <c r="F624" s="138"/>
      <c r="G624" s="138"/>
      <c r="H624" s="138"/>
      <c r="I624" s="138"/>
      <c r="J624" s="138"/>
      <c r="K624" s="138"/>
      <c r="L624" s="138"/>
      <c r="M624" s="138"/>
      <c r="N624" s="138"/>
      <c r="O624" s="25"/>
    </row>
    <row r="625">
      <c r="A625" s="138"/>
      <c r="B625" s="25"/>
      <c r="C625" s="25"/>
      <c r="D625" s="138"/>
      <c r="E625" s="138"/>
      <c r="F625" s="138"/>
      <c r="G625" s="138"/>
      <c r="H625" s="138"/>
      <c r="I625" s="138"/>
      <c r="J625" s="138"/>
      <c r="K625" s="138"/>
      <c r="L625" s="138"/>
      <c r="M625" s="138"/>
      <c r="N625" s="138"/>
      <c r="O625" s="25"/>
    </row>
    <row r="626">
      <c r="A626" s="138"/>
      <c r="B626" s="25"/>
      <c r="C626" s="25"/>
      <c r="D626" s="138"/>
      <c r="E626" s="138"/>
      <c r="F626" s="138"/>
      <c r="G626" s="138"/>
      <c r="H626" s="138"/>
      <c r="I626" s="138"/>
      <c r="J626" s="138"/>
      <c r="K626" s="138"/>
      <c r="L626" s="138"/>
      <c r="M626" s="138"/>
      <c r="N626" s="138"/>
      <c r="O626" s="25"/>
    </row>
    <row r="627">
      <c r="A627" s="138"/>
      <c r="B627" s="25"/>
      <c r="C627" s="25"/>
      <c r="D627" s="138"/>
      <c r="E627" s="138"/>
      <c r="F627" s="138"/>
      <c r="G627" s="138"/>
      <c r="H627" s="138"/>
      <c r="I627" s="138"/>
      <c r="J627" s="138"/>
      <c r="K627" s="138"/>
      <c r="L627" s="138"/>
      <c r="M627" s="138"/>
      <c r="N627" s="138"/>
      <c r="O627" s="25"/>
    </row>
    <row r="628">
      <c r="A628" s="138"/>
      <c r="B628" s="25"/>
      <c r="C628" s="25"/>
      <c r="D628" s="138"/>
      <c r="E628" s="138"/>
      <c r="F628" s="138"/>
      <c r="G628" s="138"/>
      <c r="H628" s="138"/>
      <c r="I628" s="138"/>
      <c r="J628" s="138"/>
      <c r="K628" s="138"/>
      <c r="L628" s="138"/>
      <c r="M628" s="138"/>
      <c r="N628" s="138"/>
      <c r="O628" s="25"/>
    </row>
    <row r="629">
      <c r="A629" s="138"/>
      <c r="B629" s="25"/>
      <c r="C629" s="25"/>
      <c r="D629" s="138"/>
      <c r="E629" s="138"/>
      <c r="F629" s="138"/>
      <c r="G629" s="138"/>
      <c r="H629" s="138"/>
      <c r="I629" s="138"/>
      <c r="J629" s="138"/>
      <c r="K629" s="138"/>
      <c r="L629" s="138"/>
      <c r="M629" s="138"/>
      <c r="N629" s="138"/>
      <c r="O629" s="25"/>
    </row>
    <row r="630">
      <c r="A630" s="138"/>
      <c r="B630" s="25"/>
      <c r="C630" s="25"/>
      <c r="D630" s="138"/>
      <c r="E630" s="138"/>
      <c r="F630" s="138"/>
      <c r="G630" s="138"/>
      <c r="H630" s="138"/>
      <c r="I630" s="138"/>
      <c r="J630" s="138"/>
      <c r="K630" s="138"/>
      <c r="L630" s="138"/>
      <c r="M630" s="138"/>
      <c r="N630" s="138"/>
      <c r="O630" s="25"/>
    </row>
    <row r="631">
      <c r="A631" s="138"/>
      <c r="B631" s="25"/>
      <c r="C631" s="25"/>
      <c r="D631" s="138"/>
      <c r="E631" s="138"/>
      <c r="F631" s="138"/>
      <c r="G631" s="138"/>
      <c r="H631" s="138"/>
      <c r="I631" s="138"/>
      <c r="J631" s="138"/>
      <c r="K631" s="138"/>
      <c r="L631" s="138"/>
      <c r="M631" s="138"/>
      <c r="N631" s="138"/>
      <c r="O631" s="25"/>
    </row>
    <row r="632">
      <c r="A632" s="138"/>
      <c r="B632" s="25"/>
      <c r="C632" s="25"/>
      <c r="D632" s="138"/>
      <c r="E632" s="138"/>
      <c r="F632" s="138"/>
      <c r="G632" s="138"/>
      <c r="H632" s="138"/>
      <c r="I632" s="138"/>
      <c r="J632" s="138"/>
      <c r="K632" s="138"/>
      <c r="L632" s="138"/>
      <c r="M632" s="138"/>
      <c r="N632" s="138"/>
      <c r="O632" s="25"/>
    </row>
    <row r="633">
      <c r="A633" s="138"/>
      <c r="B633" s="25"/>
      <c r="C633" s="25"/>
      <c r="D633" s="138"/>
      <c r="E633" s="138"/>
      <c r="F633" s="138"/>
      <c r="G633" s="138"/>
      <c r="H633" s="138"/>
      <c r="I633" s="138"/>
      <c r="J633" s="138"/>
      <c r="K633" s="138"/>
      <c r="L633" s="138"/>
      <c r="M633" s="138"/>
      <c r="N633" s="138"/>
      <c r="O633" s="25"/>
    </row>
    <row r="634">
      <c r="A634" s="138"/>
      <c r="B634" s="25"/>
      <c r="C634" s="25"/>
      <c r="D634" s="138"/>
      <c r="E634" s="138"/>
      <c r="F634" s="138"/>
      <c r="G634" s="138"/>
      <c r="H634" s="138"/>
      <c r="I634" s="138"/>
      <c r="J634" s="138"/>
      <c r="K634" s="138"/>
      <c r="L634" s="138"/>
      <c r="M634" s="138"/>
      <c r="N634" s="138"/>
      <c r="O634" s="25"/>
    </row>
    <row r="635">
      <c r="A635" s="138"/>
      <c r="B635" s="25"/>
      <c r="C635" s="25"/>
      <c r="D635" s="138"/>
      <c r="E635" s="138"/>
      <c r="F635" s="138"/>
      <c r="G635" s="138"/>
      <c r="H635" s="138"/>
      <c r="I635" s="138"/>
      <c r="J635" s="138"/>
      <c r="K635" s="138"/>
      <c r="L635" s="138"/>
      <c r="M635" s="138"/>
      <c r="N635" s="138"/>
      <c r="O635" s="25"/>
    </row>
    <row r="636">
      <c r="A636" s="138"/>
      <c r="B636" s="25"/>
      <c r="C636" s="25"/>
      <c r="D636" s="138"/>
      <c r="E636" s="138"/>
      <c r="F636" s="138"/>
      <c r="G636" s="138"/>
      <c r="H636" s="138"/>
      <c r="I636" s="138"/>
      <c r="J636" s="138"/>
      <c r="K636" s="138"/>
      <c r="L636" s="138"/>
      <c r="M636" s="138"/>
      <c r="N636" s="138"/>
      <c r="O636" s="25"/>
    </row>
    <row r="637">
      <c r="A637" s="138"/>
      <c r="B637" s="25"/>
      <c r="C637" s="25"/>
      <c r="D637" s="138"/>
      <c r="E637" s="138"/>
      <c r="F637" s="138"/>
      <c r="G637" s="138"/>
      <c r="H637" s="138"/>
      <c r="I637" s="138"/>
      <c r="J637" s="138"/>
      <c r="K637" s="138"/>
      <c r="L637" s="138"/>
      <c r="M637" s="138"/>
      <c r="N637" s="138"/>
      <c r="O637" s="25"/>
    </row>
    <row r="638">
      <c r="A638" s="138"/>
      <c r="B638" s="25"/>
      <c r="C638" s="25"/>
      <c r="D638" s="138"/>
      <c r="E638" s="138"/>
      <c r="F638" s="138"/>
      <c r="G638" s="138"/>
      <c r="H638" s="138"/>
      <c r="I638" s="138"/>
      <c r="J638" s="138"/>
      <c r="K638" s="138"/>
      <c r="L638" s="138"/>
      <c r="M638" s="138"/>
      <c r="N638" s="138"/>
      <c r="O638" s="25"/>
    </row>
    <row r="639">
      <c r="A639" s="138"/>
      <c r="B639" s="25"/>
      <c r="C639" s="25"/>
      <c r="D639" s="138"/>
      <c r="E639" s="138"/>
      <c r="F639" s="138"/>
      <c r="G639" s="138"/>
      <c r="H639" s="138"/>
      <c r="I639" s="138"/>
      <c r="J639" s="138"/>
      <c r="K639" s="138"/>
      <c r="L639" s="138"/>
      <c r="M639" s="138"/>
      <c r="N639" s="138"/>
      <c r="O639" s="25"/>
    </row>
    <row r="640">
      <c r="A640" s="138"/>
      <c r="B640" s="25"/>
      <c r="C640" s="25"/>
      <c r="D640" s="138"/>
      <c r="E640" s="138"/>
      <c r="F640" s="138"/>
      <c r="G640" s="138"/>
      <c r="H640" s="138"/>
      <c r="I640" s="138"/>
      <c r="J640" s="138"/>
      <c r="K640" s="138"/>
      <c r="L640" s="138"/>
      <c r="M640" s="138"/>
      <c r="N640" s="138"/>
      <c r="O640" s="25"/>
    </row>
    <row r="641">
      <c r="A641" s="138"/>
      <c r="B641" s="25"/>
      <c r="C641" s="25"/>
      <c r="D641" s="138"/>
      <c r="E641" s="138"/>
      <c r="F641" s="138"/>
      <c r="G641" s="138"/>
      <c r="H641" s="138"/>
      <c r="I641" s="138"/>
      <c r="J641" s="138"/>
      <c r="K641" s="138"/>
      <c r="L641" s="138"/>
      <c r="M641" s="138"/>
      <c r="N641" s="138"/>
      <c r="O641" s="25"/>
    </row>
    <row r="642">
      <c r="A642" s="138"/>
      <c r="B642" s="25"/>
      <c r="C642" s="25"/>
      <c r="D642" s="138"/>
      <c r="E642" s="138"/>
      <c r="F642" s="138"/>
      <c r="G642" s="138"/>
      <c r="H642" s="138"/>
      <c r="I642" s="138"/>
      <c r="J642" s="138"/>
      <c r="K642" s="138"/>
      <c r="L642" s="138"/>
      <c r="M642" s="138"/>
      <c r="N642" s="138"/>
      <c r="O642" s="25"/>
    </row>
    <row r="643">
      <c r="A643" s="138"/>
      <c r="B643" s="25"/>
      <c r="C643" s="25"/>
      <c r="D643" s="138"/>
      <c r="E643" s="138"/>
      <c r="F643" s="138"/>
      <c r="G643" s="138"/>
      <c r="H643" s="138"/>
      <c r="I643" s="138"/>
      <c r="J643" s="138"/>
      <c r="K643" s="138"/>
      <c r="L643" s="138"/>
      <c r="M643" s="138"/>
      <c r="N643" s="138"/>
      <c r="O643" s="25"/>
    </row>
    <row r="644">
      <c r="A644" s="138"/>
      <c r="B644" s="25"/>
      <c r="C644" s="25"/>
      <c r="D644" s="138"/>
      <c r="E644" s="138"/>
      <c r="F644" s="138"/>
      <c r="G644" s="138"/>
      <c r="H644" s="138"/>
      <c r="I644" s="138"/>
      <c r="J644" s="138"/>
      <c r="K644" s="138"/>
      <c r="L644" s="138"/>
      <c r="M644" s="138"/>
      <c r="N644" s="138"/>
      <c r="O644" s="25"/>
    </row>
    <row r="645">
      <c r="A645" s="138"/>
      <c r="B645" s="25"/>
      <c r="C645" s="25"/>
      <c r="D645" s="138"/>
      <c r="E645" s="138"/>
      <c r="F645" s="138"/>
      <c r="G645" s="138"/>
      <c r="H645" s="138"/>
      <c r="I645" s="138"/>
      <c r="J645" s="138"/>
      <c r="K645" s="138"/>
      <c r="L645" s="138"/>
      <c r="M645" s="138"/>
      <c r="N645" s="138"/>
      <c r="O645" s="25"/>
    </row>
    <row r="646">
      <c r="A646" s="138"/>
      <c r="B646" s="25"/>
      <c r="C646" s="25"/>
      <c r="D646" s="138"/>
      <c r="E646" s="138"/>
      <c r="F646" s="138"/>
      <c r="G646" s="138"/>
      <c r="H646" s="138"/>
      <c r="I646" s="138"/>
      <c r="J646" s="138"/>
      <c r="K646" s="138"/>
      <c r="L646" s="138"/>
      <c r="M646" s="138"/>
      <c r="N646" s="138"/>
      <c r="O646" s="25"/>
    </row>
    <row r="647">
      <c r="A647" s="138"/>
      <c r="B647" s="25"/>
      <c r="C647" s="25"/>
      <c r="D647" s="138"/>
      <c r="E647" s="138"/>
      <c r="F647" s="138"/>
      <c r="G647" s="138"/>
      <c r="H647" s="138"/>
      <c r="I647" s="138"/>
      <c r="J647" s="138"/>
      <c r="K647" s="138"/>
      <c r="L647" s="138"/>
      <c r="M647" s="138"/>
      <c r="N647" s="138"/>
      <c r="O647" s="25"/>
    </row>
    <row r="648">
      <c r="A648" s="138"/>
      <c r="B648" s="25"/>
      <c r="C648" s="25"/>
      <c r="D648" s="138"/>
      <c r="E648" s="138"/>
      <c r="F648" s="138"/>
      <c r="G648" s="138"/>
      <c r="H648" s="138"/>
      <c r="I648" s="138"/>
      <c r="J648" s="138"/>
      <c r="K648" s="138"/>
      <c r="L648" s="138"/>
      <c r="M648" s="138"/>
      <c r="N648" s="138"/>
      <c r="O648" s="25"/>
    </row>
    <row r="649">
      <c r="A649" s="138"/>
      <c r="B649" s="25"/>
      <c r="C649" s="25"/>
      <c r="D649" s="138"/>
      <c r="E649" s="138"/>
      <c r="F649" s="138"/>
      <c r="G649" s="138"/>
      <c r="H649" s="138"/>
      <c r="I649" s="138"/>
      <c r="J649" s="138"/>
      <c r="K649" s="138"/>
      <c r="L649" s="138"/>
      <c r="M649" s="138"/>
      <c r="N649" s="138"/>
      <c r="O649" s="25"/>
    </row>
    <row r="650">
      <c r="A650" s="138"/>
      <c r="B650" s="25"/>
      <c r="C650" s="25"/>
      <c r="D650" s="138"/>
      <c r="E650" s="138"/>
      <c r="F650" s="138"/>
      <c r="G650" s="138"/>
      <c r="H650" s="138"/>
      <c r="I650" s="138"/>
      <c r="J650" s="138"/>
      <c r="K650" s="138"/>
      <c r="L650" s="138"/>
      <c r="M650" s="138"/>
      <c r="N650" s="138"/>
      <c r="O650" s="25"/>
    </row>
    <row r="651">
      <c r="A651" s="138"/>
      <c r="B651" s="25"/>
      <c r="C651" s="25"/>
      <c r="D651" s="138"/>
      <c r="E651" s="138"/>
      <c r="F651" s="138"/>
      <c r="G651" s="138"/>
      <c r="H651" s="138"/>
      <c r="I651" s="138"/>
      <c r="J651" s="138"/>
      <c r="K651" s="138"/>
      <c r="L651" s="138"/>
      <c r="M651" s="138"/>
      <c r="N651" s="138"/>
      <c r="O651" s="25"/>
    </row>
    <row r="652">
      <c r="A652" s="138"/>
      <c r="B652" s="25"/>
      <c r="C652" s="25"/>
      <c r="D652" s="138"/>
      <c r="E652" s="138"/>
      <c r="F652" s="138"/>
      <c r="G652" s="138"/>
      <c r="H652" s="138"/>
      <c r="I652" s="138"/>
      <c r="J652" s="138"/>
      <c r="K652" s="138"/>
      <c r="L652" s="138"/>
      <c r="M652" s="138"/>
      <c r="N652" s="138"/>
      <c r="O652" s="25"/>
    </row>
    <row r="653">
      <c r="A653" s="138"/>
      <c r="B653" s="25"/>
      <c r="C653" s="25"/>
      <c r="D653" s="138"/>
      <c r="E653" s="138"/>
      <c r="F653" s="138"/>
      <c r="G653" s="138"/>
      <c r="H653" s="138"/>
      <c r="I653" s="138"/>
      <c r="J653" s="138"/>
      <c r="K653" s="138"/>
      <c r="L653" s="138"/>
      <c r="M653" s="138"/>
      <c r="N653" s="138"/>
      <c r="O653" s="25"/>
    </row>
    <row r="654">
      <c r="A654" s="138"/>
      <c r="B654" s="25"/>
      <c r="C654" s="25"/>
      <c r="D654" s="138"/>
      <c r="E654" s="138"/>
      <c r="F654" s="138"/>
      <c r="G654" s="138"/>
      <c r="H654" s="138"/>
      <c r="I654" s="138"/>
      <c r="J654" s="138"/>
      <c r="K654" s="138"/>
      <c r="L654" s="138"/>
      <c r="M654" s="138"/>
      <c r="N654" s="138"/>
      <c r="O654" s="25"/>
    </row>
    <row r="655">
      <c r="A655" s="138"/>
      <c r="B655" s="25"/>
      <c r="C655" s="25"/>
      <c r="D655" s="138"/>
      <c r="E655" s="138"/>
      <c r="F655" s="138"/>
      <c r="G655" s="138"/>
      <c r="H655" s="138"/>
      <c r="I655" s="138"/>
      <c r="J655" s="138"/>
      <c r="K655" s="138"/>
      <c r="L655" s="138"/>
      <c r="M655" s="138"/>
      <c r="N655" s="138"/>
      <c r="O655" s="25"/>
    </row>
    <row r="656">
      <c r="A656" s="138"/>
      <c r="B656" s="25"/>
      <c r="C656" s="25"/>
      <c r="D656" s="138"/>
      <c r="E656" s="138"/>
      <c r="F656" s="138"/>
      <c r="G656" s="138"/>
      <c r="H656" s="138"/>
      <c r="I656" s="138"/>
      <c r="J656" s="138"/>
      <c r="K656" s="138"/>
      <c r="L656" s="138"/>
      <c r="M656" s="138"/>
      <c r="N656" s="138"/>
      <c r="O656" s="25"/>
    </row>
    <row r="657">
      <c r="A657" s="138"/>
      <c r="B657" s="25"/>
      <c r="C657" s="25"/>
      <c r="D657" s="138"/>
      <c r="E657" s="138"/>
      <c r="F657" s="138"/>
      <c r="G657" s="138"/>
      <c r="H657" s="138"/>
      <c r="I657" s="138"/>
      <c r="J657" s="138"/>
      <c r="K657" s="138"/>
      <c r="L657" s="138"/>
      <c r="M657" s="138"/>
      <c r="N657" s="138"/>
      <c r="O657" s="25"/>
    </row>
    <row r="658">
      <c r="A658" s="138"/>
      <c r="B658" s="25"/>
      <c r="C658" s="25"/>
      <c r="D658" s="138"/>
      <c r="E658" s="138"/>
      <c r="F658" s="138"/>
      <c r="G658" s="138"/>
      <c r="H658" s="138"/>
      <c r="I658" s="138"/>
      <c r="J658" s="138"/>
      <c r="K658" s="138"/>
      <c r="L658" s="138"/>
      <c r="M658" s="138"/>
      <c r="N658" s="138"/>
      <c r="O658" s="25"/>
    </row>
    <row r="659">
      <c r="A659" s="138"/>
      <c r="B659" s="25"/>
      <c r="C659" s="25"/>
      <c r="D659" s="138"/>
      <c r="E659" s="138"/>
      <c r="F659" s="138"/>
      <c r="G659" s="138"/>
      <c r="H659" s="138"/>
      <c r="I659" s="138"/>
      <c r="J659" s="138"/>
      <c r="K659" s="138"/>
      <c r="L659" s="138"/>
      <c r="M659" s="138"/>
      <c r="N659" s="138"/>
      <c r="O659" s="25"/>
    </row>
    <row r="660">
      <c r="A660" s="138"/>
      <c r="B660" s="25"/>
      <c r="C660" s="25"/>
      <c r="D660" s="138"/>
      <c r="E660" s="138"/>
      <c r="F660" s="138"/>
      <c r="G660" s="138"/>
      <c r="H660" s="138"/>
      <c r="I660" s="138"/>
      <c r="J660" s="138"/>
      <c r="K660" s="138"/>
      <c r="L660" s="138"/>
      <c r="M660" s="138"/>
      <c r="N660" s="138"/>
      <c r="O660" s="25"/>
    </row>
    <row r="661">
      <c r="A661" s="138"/>
      <c r="B661" s="25"/>
      <c r="C661" s="25"/>
      <c r="D661" s="138"/>
      <c r="E661" s="138"/>
      <c r="F661" s="138"/>
      <c r="G661" s="138"/>
      <c r="H661" s="138"/>
      <c r="I661" s="138"/>
      <c r="J661" s="138"/>
      <c r="K661" s="138"/>
      <c r="L661" s="138"/>
      <c r="M661" s="138"/>
      <c r="N661" s="138"/>
      <c r="O661" s="25"/>
    </row>
    <row r="662">
      <c r="A662" s="138"/>
      <c r="B662" s="25"/>
      <c r="C662" s="25"/>
      <c r="D662" s="138"/>
      <c r="E662" s="138"/>
      <c r="F662" s="138"/>
      <c r="G662" s="138"/>
      <c r="H662" s="138"/>
      <c r="I662" s="138"/>
      <c r="J662" s="138"/>
      <c r="K662" s="138"/>
      <c r="L662" s="138"/>
      <c r="M662" s="138"/>
      <c r="N662" s="138"/>
      <c r="O662" s="25"/>
    </row>
    <row r="663">
      <c r="A663" s="138"/>
      <c r="B663" s="25"/>
      <c r="C663" s="25"/>
      <c r="D663" s="138"/>
      <c r="E663" s="138"/>
      <c r="F663" s="138"/>
      <c r="G663" s="138"/>
      <c r="H663" s="138"/>
      <c r="I663" s="138"/>
      <c r="J663" s="138"/>
      <c r="K663" s="138"/>
      <c r="L663" s="138"/>
      <c r="M663" s="138"/>
      <c r="N663" s="138"/>
      <c r="O663" s="25"/>
    </row>
    <row r="664">
      <c r="A664" s="138"/>
      <c r="B664" s="25"/>
      <c r="C664" s="25"/>
      <c r="D664" s="138"/>
      <c r="E664" s="138"/>
      <c r="F664" s="138"/>
      <c r="G664" s="138"/>
      <c r="H664" s="138"/>
      <c r="I664" s="138"/>
      <c r="J664" s="138"/>
      <c r="K664" s="138"/>
      <c r="L664" s="138"/>
      <c r="M664" s="138"/>
      <c r="N664" s="138"/>
      <c r="O664" s="25"/>
    </row>
    <row r="665">
      <c r="A665" s="138"/>
      <c r="B665" s="25"/>
      <c r="C665" s="25"/>
      <c r="D665" s="138"/>
      <c r="E665" s="138"/>
      <c r="F665" s="138"/>
      <c r="G665" s="138"/>
      <c r="H665" s="138"/>
      <c r="I665" s="138"/>
      <c r="J665" s="138"/>
      <c r="K665" s="138"/>
      <c r="L665" s="138"/>
      <c r="M665" s="138"/>
      <c r="N665" s="138"/>
      <c r="O665" s="25"/>
    </row>
    <row r="666">
      <c r="A666" s="138"/>
      <c r="B666" s="25"/>
      <c r="C666" s="25"/>
      <c r="D666" s="138"/>
      <c r="E666" s="138"/>
      <c r="F666" s="138"/>
      <c r="G666" s="138"/>
      <c r="H666" s="138"/>
      <c r="I666" s="138"/>
      <c r="J666" s="138"/>
      <c r="K666" s="138"/>
      <c r="L666" s="138"/>
      <c r="M666" s="138"/>
      <c r="N666" s="138"/>
      <c r="O666" s="25"/>
    </row>
    <row r="667">
      <c r="A667" s="138"/>
      <c r="B667" s="25"/>
      <c r="C667" s="25"/>
      <c r="D667" s="138"/>
      <c r="E667" s="138"/>
      <c r="F667" s="138"/>
      <c r="G667" s="138"/>
      <c r="H667" s="138"/>
      <c r="I667" s="138"/>
      <c r="J667" s="138"/>
      <c r="K667" s="138"/>
      <c r="L667" s="138"/>
      <c r="M667" s="138"/>
      <c r="N667" s="138"/>
      <c r="O667" s="25"/>
    </row>
    <row r="668">
      <c r="A668" s="138"/>
      <c r="B668" s="25"/>
      <c r="C668" s="25"/>
      <c r="D668" s="138"/>
      <c r="E668" s="138"/>
      <c r="F668" s="138"/>
      <c r="G668" s="138"/>
      <c r="H668" s="138"/>
      <c r="I668" s="138"/>
      <c r="J668" s="138"/>
      <c r="K668" s="138"/>
      <c r="L668" s="138"/>
      <c r="M668" s="138"/>
      <c r="N668" s="138"/>
      <c r="O668" s="25"/>
    </row>
    <row r="669">
      <c r="A669" s="138"/>
      <c r="B669" s="25"/>
      <c r="C669" s="25"/>
      <c r="D669" s="138"/>
      <c r="E669" s="138"/>
      <c r="F669" s="138"/>
      <c r="G669" s="138"/>
      <c r="H669" s="138"/>
      <c r="I669" s="138"/>
      <c r="J669" s="138"/>
      <c r="K669" s="138"/>
      <c r="L669" s="138"/>
      <c r="M669" s="138"/>
      <c r="N669" s="138"/>
      <c r="O669" s="25"/>
    </row>
    <row r="670">
      <c r="A670" s="138"/>
      <c r="B670" s="25"/>
      <c r="C670" s="25"/>
      <c r="D670" s="138"/>
      <c r="E670" s="138"/>
      <c r="F670" s="138"/>
      <c r="G670" s="138"/>
      <c r="H670" s="138"/>
      <c r="I670" s="138"/>
      <c r="J670" s="138"/>
      <c r="K670" s="138"/>
      <c r="L670" s="138"/>
      <c r="M670" s="138"/>
      <c r="N670" s="138"/>
      <c r="O670" s="25"/>
    </row>
    <row r="671">
      <c r="A671" s="138"/>
      <c r="B671" s="25"/>
      <c r="C671" s="25"/>
      <c r="D671" s="138"/>
      <c r="E671" s="138"/>
      <c r="F671" s="138"/>
      <c r="G671" s="138"/>
      <c r="H671" s="138"/>
      <c r="I671" s="138"/>
      <c r="J671" s="138"/>
      <c r="K671" s="138"/>
      <c r="L671" s="138"/>
      <c r="M671" s="138"/>
      <c r="N671" s="138"/>
      <c r="O671" s="25"/>
    </row>
    <row r="672">
      <c r="A672" s="138"/>
      <c r="B672" s="25"/>
      <c r="C672" s="25"/>
      <c r="D672" s="138"/>
      <c r="E672" s="138"/>
      <c r="F672" s="138"/>
      <c r="G672" s="138"/>
      <c r="H672" s="138"/>
      <c r="I672" s="138"/>
      <c r="J672" s="138"/>
      <c r="K672" s="138"/>
      <c r="L672" s="138"/>
      <c r="M672" s="138"/>
      <c r="N672" s="138"/>
      <c r="O672" s="25"/>
    </row>
    <row r="673">
      <c r="A673" s="138"/>
      <c r="B673" s="25"/>
      <c r="C673" s="25"/>
      <c r="D673" s="138"/>
      <c r="E673" s="138"/>
      <c r="F673" s="138"/>
      <c r="G673" s="138"/>
      <c r="H673" s="138"/>
      <c r="I673" s="138"/>
      <c r="J673" s="138"/>
      <c r="K673" s="138"/>
      <c r="L673" s="138"/>
      <c r="M673" s="138"/>
      <c r="N673" s="138"/>
      <c r="O673" s="25"/>
    </row>
    <row r="674">
      <c r="A674" s="138"/>
      <c r="B674" s="25"/>
      <c r="C674" s="25"/>
      <c r="D674" s="138"/>
      <c r="E674" s="138"/>
      <c r="F674" s="138"/>
      <c r="G674" s="138"/>
      <c r="H674" s="138"/>
      <c r="I674" s="138"/>
      <c r="J674" s="138"/>
      <c r="K674" s="138"/>
      <c r="L674" s="138"/>
      <c r="M674" s="138"/>
      <c r="N674" s="138"/>
      <c r="O674" s="25"/>
    </row>
    <row r="675">
      <c r="A675" s="138"/>
      <c r="B675" s="25"/>
      <c r="C675" s="25"/>
      <c r="D675" s="138"/>
      <c r="E675" s="138"/>
      <c r="F675" s="138"/>
      <c r="G675" s="138"/>
      <c r="H675" s="138"/>
      <c r="I675" s="138"/>
      <c r="J675" s="138"/>
      <c r="K675" s="138"/>
      <c r="L675" s="138"/>
      <c r="M675" s="138"/>
      <c r="N675" s="138"/>
      <c r="O675" s="25"/>
    </row>
    <row r="676">
      <c r="A676" s="138"/>
      <c r="B676" s="25"/>
      <c r="C676" s="25"/>
      <c r="D676" s="138"/>
      <c r="E676" s="138"/>
      <c r="F676" s="138"/>
      <c r="G676" s="138"/>
      <c r="H676" s="138"/>
      <c r="I676" s="138"/>
      <c r="J676" s="138"/>
      <c r="K676" s="138"/>
      <c r="L676" s="138"/>
      <c r="M676" s="138"/>
      <c r="N676" s="138"/>
      <c r="O676" s="25"/>
    </row>
    <row r="677">
      <c r="A677" s="138"/>
      <c r="B677" s="25"/>
      <c r="C677" s="25"/>
      <c r="D677" s="138"/>
      <c r="E677" s="138"/>
      <c r="F677" s="138"/>
      <c r="G677" s="138"/>
      <c r="H677" s="138"/>
      <c r="I677" s="138"/>
      <c r="J677" s="138"/>
      <c r="K677" s="138"/>
      <c r="L677" s="138"/>
      <c r="M677" s="138"/>
      <c r="N677" s="138"/>
      <c r="O677" s="25"/>
    </row>
    <row r="678">
      <c r="A678" s="138"/>
      <c r="B678" s="25"/>
      <c r="C678" s="25"/>
      <c r="D678" s="138"/>
      <c r="E678" s="138"/>
      <c r="F678" s="138"/>
      <c r="G678" s="138"/>
      <c r="H678" s="138"/>
      <c r="I678" s="138"/>
      <c r="J678" s="138"/>
      <c r="K678" s="138"/>
      <c r="L678" s="138"/>
      <c r="M678" s="138"/>
      <c r="N678" s="138"/>
      <c r="O678" s="25"/>
    </row>
    <row r="679">
      <c r="A679" s="138"/>
      <c r="B679" s="25"/>
      <c r="C679" s="25"/>
      <c r="D679" s="138"/>
      <c r="E679" s="138"/>
      <c r="F679" s="138"/>
      <c r="G679" s="138"/>
      <c r="H679" s="138"/>
      <c r="I679" s="138"/>
      <c r="J679" s="138"/>
      <c r="K679" s="138"/>
      <c r="L679" s="138"/>
      <c r="M679" s="138"/>
      <c r="N679" s="138"/>
      <c r="O679" s="25"/>
    </row>
    <row r="680">
      <c r="A680" s="138"/>
      <c r="B680" s="25"/>
      <c r="C680" s="25"/>
      <c r="D680" s="138"/>
      <c r="E680" s="138"/>
      <c r="F680" s="138"/>
      <c r="G680" s="138"/>
      <c r="H680" s="138"/>
      <c r="I680" s="138"/>
      <c r="J680" s="138"/>
      <c r="K680" s="138"/>
      <c r="L680" s="138"/>
      <c r="M680" s="138"/>
      <c r="N680" s="138"/>
      <c r="O680" s="25"/>
    </row>
    <row r="681">
      <c r="A681" s="138"/>
      <c r="B681" s="25"/>
      <c r="C681" s="25"/>
      <c r="D681" s="138"/>
      <c r="E681" s="138"/>
      <c r="F681" s="138"/>
      <c r="G681" s="138"/>
      <c r="H681" s="138"/>
      <c r="I681" s="138"/>
      <c r="J681" s="138"/>
      <c r="K681" s="138"/>
      <c r="L681" s="138"/>
      <c r="M681" s="138"/>
      <c r="N681" s="138"/>
      <c r="O681" s="25"/>
    </row>
    <row r="682">
      <c r="A682" s="138"/>
      <c r="B682" s="25"/>
      <c r="C682" s="25"/>
      <c r="D682" s="138"/>
      <c r="E682" s="138"/>
      <c r="F682" s="138"/>
      <c r="G682" s="138"/>
      <c r="H682" s="138"/>
      <c r="I682" s="138"/>
      <c r="J682" s="138"/>
      <c r="K682" s="138"/>
      <c r="L682" s="138"/>
      <c r="M682" s="138"/>
      <c r="N682" s="138"/>
      <c r="O682" s="25"/>
    </row>
    <row r="683">
      <c r="A683" s="138"/>
      <c r="B683" s="25"/>
      <c r="C683" s="25"/>
      <c r="D683" s="138"/>
      <c r="E683" s="138"/>
      <c r="F683" s="138"/>
      <c r="G683" s="138"/>
      <c r="H683" s="138"/>
      <c r="I683" s="138"/>
      <c r="J683" s="138"/>
      <c r="K683" s="138"/>
      <c r="L683" s="138"/>
      <c r="M683" s="138"/>
      <c r="N683" s="138"/>
      <c r="O683" s="25"/>
    </row>
    <row r="684">
      <c r="A684" s="138"/>
      <c r="B684" s="25"/>
      <c r="C684" s="25"/>
      <c r="D684" s="138"/>
      <c r="E684" s="138"/>
      <c r="F684" s="138"/>
      <c r="G684" s="138"/>
      <c r="H684" s="138"/>
      <c r="I684" s="138"/>
      <c r="J684" s="138"/>
      <c r="K684" s="138"/>
      <c r="L684" s="138"/>
      <c r="M684" s="138"/>
      <c r="N684" s="138"/>
      <c r="O684" s="25"/>
    </row>
    <row r="685">
      <c r="A685" s="138"/>
      <c r="B685" s="25"/>
      <c r="C685" s="25"/>
      <c r="D685" s="138"/>
      <c r="E685" s="138"/>
      <c r="F685" s="138"/>
      <c r="G685" s="138"/>
      <c r="H685" s="138"/>
      <c r="I685" s="138"/>
      <c r="J685" s="138"/>
      <c r="K685" s="138"/>
      <c r="L685" s="138"/>
      <c r="M685" s="138"/>
      <c r="N685" s="138"/>
      <c r="O685" s="25"/>
    </row>
    <row r="686">
      <c r="A686" s="138"/>
      <c r="B686" s="25"/>
      <c r="C686" s="25"/>
      <c r="D686" s="138"/>
      <c r="E686" s="138"/>
      <c r="F686" s="138"/>
      <c r="G686" s="138"/>
      <c r="H686" s="138"/>
      <c r="I686" s="138"/>
      <c r="J686" s="138"/>
      <c r="K686" s="138"/>
      <c r="L686" s="138"/>
      <c r="M686" s="138"/>
      <c r="N686" s="138"/>
      <c r="O686" s="25"/>
    </row>
    <row r="687">
      <c r="A687" s="138"/>
      <c r="B687" s="25"/>
      <c r="C687" s="25"/>
      <c r="D687" s="138"/>
      <c r="E687" s="138"/>
      <c r="F687" s="138"/>
      <c r="G687" s="138"/>
      <c r="H687" s="138"/>
      <c r="I687" s="138"/>
      <c r="J687" s="138"/>
      <c r="K687" s="138"/>
      <c r="L687" s="138"/>
      <c r="M687" s="138"/>
      <c r="N687" s="138"/>
      <c r="O687" s="25"/>
    </row>
    <row r="688">
      <c r="A688" s="138"/>
      <c r="B688" s="25"/>
      <c r="C688" s="25"/>
      <c r="D688" s="138"/>
      <c r="E688" s="138"/>
      <c r="F688" s="138"/>
      <c r="G688" s="138"/>
      <c r="H688" s="138"/>
      <c r="I688" s="138"/>
      <c r="J688" s="138"/>
      <c r="K688" s="138"/>
      <c r="L688" s="138"/>
      <c r="M688" s="138"/>
      <c r="N688" s="138"/>
      <c r="O688" s="25"/>
    </row>
    <row r="689">
      <c r="A689" s="138"/>
      <c r="B689" s="25"/>
      <c r="C689" s="25"/>
      <c r="D689" s="138"/>
      <c r="E689" s="138"/>
      <c r="F689" s="138"/>
      <c r="G689" s="138"/>
      <c r="H689" s="138"/>
      <c r="I689" s="138"/>
      <c r="J689" s="138"/>
      <c r="K689" s="138"/>
      <c r="L689" s="138"/>
      <c r="M689" s="138"/>
      <c r="N689" s="138"/>
      <c r="O689" s="25"/>
    </row>
    <row r="690">
      <c r="A690" s="138"/>
      <c r="B690" s="25"/>
      <c r="C690" s="25"/>
      <c r="D690" s="138"/>
      <c r="E690" s="138"/>
      <c r="F690" s="138"/>
      <c r="G690" s="138"/>
      <c r="H690" s="138"/>
      <c r="I690" s="138"/>
      <c r="J690" s="138"/>
      <c r="K690" s="138"/>
      <c r="L690" s="138"/>
      <c r="M690" s="138"/>
      <c r="N690" s="138"/>
      <c r="O690" s="25"/>
    </row>
    <row r="691">
      <c r="A691" s="138"/>
      <c r="B691" s="25"/>
      <c r="C691" s="25"/>
      <c r="D691" s="138"/>
      <c r="E691" s="138"/>
      <c r="F691" s="138"/>
      <c r="G691" s="138"/>
      <c r="H691" s="138"/>
      <c r="I691" s="138"/>
      <c r="J691" s="138"/>
      <c r="K691" s="138"/>
      <c r="L691" s="138"/>
      <c r="M691" s="138"/>
      <c r="N691" s="138"/>
      <c r="O691" s="25"/>
    </row>
    <row r="692">
      <c r="A692" s="138"/>
      <c r="B692" s="25"/>
      <c r="C692" s="25"/>
      <c r="D692" s="138"/>
      <c r="E692" s="138"/>
      <c r="F692" s="138"/>
      <c r="G692" s="138"/>
      <c r="H692" s="138"/>
      <c r="I692" s="138"/>
      <c r="J692" s="138"/>
      <c r="K692" s="138"/>
      <c r="L692" s="138"/>
      <c r="M692" s="138"/>
      <c r="N692" s="138"/>
      <c r="O692" s="25"/>
    </row>
    <row r="693">
      <c r="A693" s="138"/>
      <c r="B693" s="25"/>
      <c r="C693" s="25"/>
      <c r="D693" s="138"/>
      <c r="E693" s="138"/>
      <c r="F693" s="138"/>
      <c r="G693" s="138"/>
      <c r="H693" s="138"/>
      <c r="I693" s="138"/>
      <c r="J693" s="138"/>
      <c r="K693" s="138"/>
      <c r="L693" s="138"/>
      <c r="M693" s="138"/>
      <c r="N693" s="138"/>
      <c r="O693" s="25"/>
    </row>
    <row r="694">
      <c r="A694" s="138"/>
      <c r="B694" s="25"/>
      <c r="C694" s="25"/>
      <c r="D694" s="138"/>
      <c r="E694" s="138"/>
      <c r="F694" s="138"/>
      <c r="G694" s="138"/>
      <c r="H694" s="138"/>
      <c r="I694" s="138"/>
      <c r="J694" s="138"/>
      <c r="K694" s="138"/>
      <c r="L694" s="138"/>
      <c r="M694" s="138"/>
      <c r="N694" s="138"/>
      <c r="O694" s="25"/>
    </row>
    <row r="695">
      <c r="A695" s="138"/>
      <c r="B695" s="25"/>
      <c r="C695" s="25"/>
      <c r="D695" s="138"/>
      <c r="E695" s="138"/>
      <c r="F695" s="138"/>
      <c r="G695" s="138"/>
      <c r="H695" s="138"/>
      <c r="I695" s="138"/>
      <c r="J695" s="138"/>
      <c r="K695" s="138"/>
      <c r="L695" s="138"/>
      <c r="M695" s="138"/>
      <c r="N695" s="138"/>
      <c r="O695" s="25"/>
    </row>
    <row r="696">
      <c r="A696" s="138"/>
      <c r="B696" s="25"/>
      <c r="C696" s="25"/>
      <c r="D696" s="138"/>
      <c r="E696" s="138"/>
      <c r="F696" s="138"/>
      <c r="G696" s="138"/>
      <c r="H696" s="138"/>
      <c r="I696" s="138"/>
      <c r="J696" s="138"/>
      <c r="K696" s="138"/>
      <c r="L696" s="138"/>
      <c r="M696" s="138"/>
      <c r="N696" s="138"/>
      <c r="O696" s="25"/>
    </row>
    <row r="697">
      <c r="A697" s="138"/>
      <c r="B697" s="25"/>
      <c r="C697" s="25"/>
      <c r="D697" s="138"/>
      <c r="E697" s="138"/>
      <c r="F697" s="138"/>
      <c r="G697" s="138"/>
      <c r="H697" s="138"/>
      <c r="I697" s="138"/>
      <c r="J697" s="138"/>
      <c r="K697" s="138"/>
      <c r="L697" s="138"/>
      <c r="M697" s="138"/>
      <c r="N697" s="138"/>
      <c r="O697" s="25"/>
    </row>
    <row r="698">
      <c r="A698" s="138"/>
      <c r="B698" s="25"/>
      <c r="C698" s="25"/>
      <c r="D698" s="138"/>
      <c r="E698" s="138"/>
      <c r="F698" s="138"/>
      <c r="G698" s="138"/>
      <c r="H698" s="138"/>
      <c r="I698" s="138"/>
      <c r="J698" s="138"/>
      <c r="K698" s="138"/>
      <c r="L698" s="138"/>
      <c r="M698" s="138"/>
      <c r="N698" s="138"/>
      <c r="O698" s="25"/>
    </row>
    <row r="699">
      <c r="A699" s="138"/>
      <c r="B699" s="25"/>
      <c r="C699" s="25"/>
      <c r="D699" s="138"/>
      <c r="E699" s="138"/>
      <c r="F699" s="138"/>
      <c r="G699" s="138"/>
      <c r="H699" s="138"/>
      <c r="I699" s="138"/>
      <c r="J699" s="138"/>
      <c r="K699" s="138"/>
      <c r="L699" s="138"/>
      <c r="M699" s="138"/>
      <c r="N699" s="138"/>
      <c r="O699" s="25"/>
    </row>
    <row r="700">
      <c r="A700" s="138"/>
      <c r="B700" s="25"/>
      <c r="C700" s="25"/>
      <c r="D700" s="138"/>
      <c r="E700" s="138"/>
      <c r="F700" s="138"/>
      <c r="G700" s="138"/>
      <c r="H700" s="138"/>
      <c r="I700" s="138"/>
      <c r="J700" s="138"/>
      <c r="K700" s="138"/>
      <c r="L700" s="138"/>
      <c r="M700" s="138"/>
      <c r="N700" s="138"/>
      <c r="O700" s="25"/>
    </row>
    <row r="701">
      <c r="A701" s="138"/>
      <c r="B701" s="25"/>
      <c r="C701" s="25"/>
      <c r="D701" s="138"/>
      <c r="E701" s="138"/>
      <c r="F701" s="138"/>
      <c r="G701" s="138"/>
      <c r="H701" s="138"/>
      <c r="I701" s="138"/>
      <c r="J701" s="138"/>
      <c r="K701" s="138"/>
      <c r="L701" s="138"/>
      <c r="M701" s="138"/>
      <c r="N701" s="138"/>
      <c r="O701" s="25"/>
    </row>
    <row r="702">
      <c r="A702" s="138"/>
      <c r="B702" s="25"/>
      <c r="C702" s="25"/>
      <c r="D702" s="138"/>
      <c r="E702" s="138"/>
      <c r="F702" s="138"/>
      <c r="G702" s="138"/>
      <c r="H702" s="138"/>
      <c r="I702" s="138"/>
      <c r="J702" s="138"/>
      <c r="K702" s="138"/>
      <c r="L702" s="138"/>
      <c r="M702" s="138"/>
      <c r="N702" s="138"/>
      <c r="O702" s="25"/>
    </row>
    <row r="703">
      <c r="A703" s="138"/>
      <c r="B703" s="25"/>
      <c r="C703" s="25"/>
      <c r="D703" s="138"/>
      <c r="E703" s="138"/>
      <c r="F703" s="138"/>
      <c r="G703" s="138"/>
      <c r="H703" s="138"/>
      <c r="I703" s="138"/>
      <c r="J703" s="138"/>
      <c r="K703" s="138"/>
      <c r="L703" s="138"/>
      <c r="M703" s="138"/>
      <c r="N703" s="138"/>
      <c r="O703" s="25"/>
    </row>
    <row r="704">
      <c r="A704" s="138"/>
      <c r="B704" s="25"/>
      <c r="C704" s="25"/>
      <c r="D704" s="138"/>
      <c r="E704" s="138"/>
      <c r="F704" s="138"/>
      <c r="G704" s="138"/>
      <c r="H704" s="138"/>
      <c r="I704" s="138"/>
      <c r="J704" s="138"/>
      <c r="K704" s="138"/>
      <c r="L704" s="138"/>
      <c r="M704" s="138"/>
      <c r="N704" s="138"/>
      <c r="O704" s="25"/>
    </row>
    <row r="705">
      <c r="A705" s="138"/>
      <c r="B705" s="25"/>
      <c r="C705" s="25"/>
      <c r="D705" s="138"/>
      <c r="E705" s="138"/>
      <c r="F705" s="138"/>
      <c r="G705" s="138"/>
      <c r="H705" s="138"/>
      <c r="I705" s="138"/>
      <c r="J705" s="138"/>
      <c r="K705" s="138"/>
      <c r="L705" s="138"/>
      <c r="M705" s="138"/>
      <c r="N705" s="138"/>
      <c r="O705" s="25"/>
    </row>
    <row r="706">
      <c r="A706" s="138"/>
      <c r="B706" s="25"/>
      <c r="C706" s="25"/>
      <c r="D706" s="138"/>
      <c r="E706" s="138"/>
      <c r="F706" s="138"/>
      <c r="G706" s="138"/>
      <c r="H706" s="138"/>
      <c r="I706" s="138"/>
      <c r="J706" s="138"/>
      <c r="K706" s="138"/>
      <c r="L706" s="138"/>
      <c r="M706" s="138"/>
      <c r="N706" s="138"/>
      <c r="O706" s="25"/>
    </row>
    <row r="707">
      <c r="A707" s="138"/>
      <c r="B707" s="25"/>
      <c r="C707" s="25"/>
      <c r="D707" s="138"/>
      <c r="E707" s="138"/>
      <c r="F707" s="138"/>
      <c r="G707" s="138"/>
      <c r="H707" s="138"/>
      <c r="I707" s="138"/>
      <c r="J707" s="138"/>
      <c r="K707" s="138"/>
      <c r="L707" s="138"/>
      <c r="M707" s="138"/>
      <c r="N707" s="138"/>
      <c r="O707" s="25"/>
    </row>
    <row r="708">
      <c r="A708" s="138"/>
      <c r="B708" s="25"/>
      <c r="C708" s="25"/>
      <c r="D708" s="138"/>
      <c r="E708" s="138"/>
      <c r="F708" s="138"/>
      <c r="G708" s="138"/>
      <c r="H708" s="138"/>
      <c r="I708" s="138"/>
      <c r="J708" s="138"/>
      <c r="K708" s="138"/>
      <c r="L708" s="138"/>
      <c r="M708" s="138"/>
      <c r="N708" s="138"/>
      <c r="O708" s="25"/>
    </row>
    <row r="709">
      <c r="A709" s="138"/>
      <c r="B709" s="25"/>
      <c r="C709" s="25"/>
      <c r="D709" s="138"/>
      <c r="E709" s="138"/>
      <c r="F709" s="138"/>
      <c r="G709" s="138"/>
      <c r="H709" s="138"/>
      <c r="I709" s="138"/>
      <c r="J709" s="138"/>
      <c r="K709" s="138"/>
      <c r="L709" s="138"/>
      <c r="M709" s="138"/>
      <c r="N709" s="138"/>
      <c r="O709" s="25"/>
    </row>
    <row r="710">
      <c r="A710" s="138"/>
      <c r="B710" s="25"/>
      <c r="C710" s="25"/>
      <c r="D710" s="138"/>
      <c r="E710" s="138"/>
      <c r="F710" s="138"/>
      <c r="G710" s="138"/>
      <c r="H710" s="138"/>
      <c r="I710" s="138"/>
      <c r="J710" s="138"/>
      <c r="K710" s="138"/>
      <c r="L710" s="138"/>
      <c r="M710" s="138"/>
      <c r="N710" s="138"/>
      <c r="O710" s="25"/>
    </row>
    <row r="711">
      <c r="A711" s="138"/>
      <c r="B711" s="25"/>
      <c r="C711" s="25"/>
      <c r="D711" s="138"/>
      <c r="E711" s="138"/>
      <c r="F711" s="138"/>
      <c r="G711" s="138"/>
      <c r="H711" s="138"/>
      <c r="I711" s="138"/>
      <c r="J711" s="138"/>
      <c r="K711" s="138"/>
      <c r="L711" s="138"/>
      <c r="M711" s="138"/>
      <c r="N711" s="138"/>
      <c r="O711" s="25"/>
    </row>
    <row r="712">
      <c r="A712" s="138"/>
      <c r="B712" s="25"/>
      <c r="C712" s="25"/>
      <c r="D712" s="138"/>
      <c r="E712" s="138"/>
      <c r="F712" s="138"/>
      <c r="G712" s="138"/>
      <c r="H712" s="138"/>
      <c r="I712" s="138"/>
      <c r="J712" s="138"/>
      <c r="K712" s="138"/>
      <c r="L712" s="138"/>
      <c r="M712" s="138"/>
      <c r="N712" s="138"/>
      <c r="O712" s="25"/>
    </row>
    <row r="713">
      <c r="A713" s="138"/>
      <c r="B713" s="25"/>
      <c r="C713" s="25"/>
      <c r="D713" s="138"/>
      <c r="E713" s="138"/>
      <c r="F713" s="138"/>
      <c r="G713" s="138"/>
      <c r="H713" s="138"/>
      <c r="I713" s="138"/>
      <c r="J713" s="138"/>
      <c r="K713" s="138"/>
      <c r="L713" s="138"/>
      <c r="M713" s="138"/>
      <c r="N713" s="138"/>
      <c r="O713" s="25"/>
    </row>
    <row r="714">
      <c r="A714" s="138"/>
      <c r="B714" s="25"/>
      <c r="C714" s="25"/>
      <c r="D714" s="138"/>
      <c r="E714" s="138"/>
      <c r="F714" s="138"/>
      <c r="G714" s="138"/>
      <c r="H714" s="138"/>
      <c r="I714" s="138"/>
      <c r="J714" s="138"/>
      <c r="K714" s="138"/>
      <c r="L714" s="138"/>
      <c r="M714" s="138"/>
      <c r="N714" s="138"/>
      <c r="O714" s="25"/>
    </row>
    <row r="715">
      <c r="A715" s="138"/>
      <c r="B715" s="25"/>
      <c r="C715" s="25"/>
      <c r="D715" s="138"/>
      <c r="E715" s="138"/>
      <c r="F715" s="138"/>
      <c r="G715" s="138"/>
      <c r="H715" s="138"/>
      <c r="I715" s="138"/>
      <c r="J715" s="138"/>
      <c r="K715" s="138"/>
      <c r="L715" s="138"/>
      <c r="M715" s="138"/>
      <c r="N715" s="138"/>
      <c r="O715" s="25"/>
    </row>
    <row r="716">
      <c r="A716" s="138"/>
      <c r="B716" s="25"/>
      <c r="C716" s="25"/>
      <c r="D716" s="138"/>
      <c r="E716" s="138"/>
      <c r="F716" s="138"/>
      <c r="G716" s="138"/>
      <c r="H716" s="138"/>
      <c r="I716" s="138"/>
      <c r="J716" s="138"/>
      <c r="K716" s="138"/>
      <c r="L716" s="138"/>
      <c r="M716" s="138"/>
      <c r="N716" s="138"/>
      <c r="O716" s="25"/>
    </row>
    <row r="717">
      <c r="A717" s="138"/>
      <c r="B717" s="25"/>
      <c r="C717" s="25"/>
      <c r="D717" s="138"/>
      <c r="E717" s="138"/>
      <c r="F717" s="138"/>
      <c r="G717" s="138"/>
      <c r="H717" s="138"/>
      <c r="I717" s="138"/>
      <c r="J717" s="138"/>
      <c r="K717" s="138"/>
      <c r="L717" s="138"/>
      <c r="M717" s="138"/>
      <c r="N717" s="138"/>
      <c r="O717" s="25"/>
    </row>
    <row r="718">
      <c r="A718" s="138"/>
      <c r="B718" s="25"/>
      <c r="C718" s="25"/>
      <c r="D718" s="138"/>
      <c r="E718" s="138"/>
      <c r="F718" s="138"/>
      <c r="G718" s="138"/>
      <c r="H718" s="138"/>
      <c r="I718" s="138"/>
      <c r="J718" s="138"/>
      <c r="K718" s="138"/>
      <c r="L718" s="138"/>
      <c r="M718" s="138"/>
      <c r="N718" s="138"/>
      <c r="O718" s="25"/>
    </row>
    <row r="719">
      <c r="A719" s="138"/>
      <c r="B719" s="25"/>
      <c r="C719" s="25"/>
      <c r="D719" s="138"/>
      <c r="E719" s="138"/>
      <c r="F719" s="138"/>
      <c r="G719" s="138"/>
      <c r="H719" s="138"/>
      <c r="I719" s="138"/>
      <c r="J719" s="138"/>
      <c r="K719" s="138"/>
      <c r="L719" s="138"/>
      <c r="M719" s="138"/>
      <c r="N719" s="138"/>
      <c r="O719" s="25"/>
    </row>
    <row r="720">
      <c r="A720" s="138"/>
      <c r="B720" s="25"/>
      <c r="C720" s="25"/>
      <c r="D720" s="138"/>
      <c r="E720" s="138"/>
      <c r="F720" s="138"/>
      <c r="G720" s="138"/>
      <c r="H720" s="138"/>
      <c r="I720" s="138"/>
      <c r="J720" s="138"/>
      <c r="K720" s="138"/>
      <c r="L720" s="138"/>
      <c r="M720" s="138"/>
      <c r="N720" s="138"/>
      <c r="O720" s="25"/>
    </row>
    <row r="721">
      <c r="A721" s="138"/>
      <c r="B721" s="25"/>
      <c r="C721" s="25"/>
      <c r="D721" s="138"/>
      <c r="E721" s="138"/>
      <c r="F721" s="138"/>
      <c r="G721" s="138"/>
      <c r="H721" s="138"/>
      <c r="I721" s="138"/>
      <c r="J721" s="138"/>
      <c r="K721" s="138"/>
      <c r="L721" s="138"/>
      <c r="M721" s="138"/>
      <c r="N721" s="138"/>
      <c r="O721" s="25"/>
    </row>
    <row r="722">
      <c r="A722" s="138"/>
      <c r="B722" s="25"/>
      <c r="C722" s="25"/>
      <c r="D722" s="138"/>
      <c r="E722" s="138"/>
      <c r="F722" s="138"/>
      <c r="G722" s="138"/>
      <c r="H722" s="138"/>
      <c r="I722" s="138"/>
      <c r="J722" s="138"/>
      <c r="K722" s="138"/>
      <c r="L722" s="138"/>
      <c r="M722" s="138"/>
      <c r="N722" s="138"/>
      <c r="O722" s="25"/>
    </row>
    <row r="723">
      <c r="A723" s="138"/>
      <c r="B723" s="25"/>
      <c r="C723" s="25"/>
      <c r="D723" s="138"/>
      <c r="E723" s="138"/>
      <c r="F723" s="138"/>
      <c r="G723" s="138"/>
      <c r="H723" s="138"/>
      <c r="I723" s="138"/>
      <c r="J723" s="138"/>
      <c r="K723" s="138"/>
      <c r="L723" s="138"/>
      <c r="M723" s="138"/>
      <c r="N723" s="138"/>
      <c r="O723" s="25"/>
    </row>
    <row r="724">
      <c r="A724" s="138"/>
      <c r="B724" s="25"/>
      <c r="C724" s="25"/>
      <c r="D724" s="138"/>
      <c r="E724" s="138"/>
      <c r="F724" s="138"/>
      <c r="G724" s="138"/>
      <c r="H724" s="138"/>
      <c r="I724" s="138"/>
      <c r="J724" s="138"/>
      <c r="K724" s="138"/>
      <c r="L724" s="138"/>
      <c r="M724" s="138"/>
      <c r="N724" s="138"/>
      <c r="O724" s="25"/>
    </row>
    <row r="725">
      <c r="A725" s="138"/>
      <c r="B725" s="25"/>
      <c r="C725" s="25"/>
      <c r="D725" s="138"/>
      <c r="E725" s="138"/>
      <c r="F725" s="138"/>
      <c r="G725" s="138"/>
      <c r="H725" s="138"/>
      <c r="I725" s="138"/>
      <c r="J725" s="138"/>
      <c r="K725" s="138"/>
      <c r="L725" s="138"/>
      <c r="M725" s="138"/>
      <c r="N725" s="138"/>
      <c r="O725" s="25"/>
    </row>
    <row r="726">
      <c r="A726" s="138"/>
      <c r="B726" s="25"/>
      <c r="C726" s="25"/>
      <c r="D726" s="138"/>
      <c r="E726" s="138"/>
      <c r="F726" s="138"/>
      <c r="G726" s="138"/>
      <c r="H726" s="138"/>
      <c r="I726" s="138"/>
      <c r="J726" s="138"/>
      <c r="K726" s="138"/>
      <c r="L726" s="138"/>
      <c r="M726" s="138"/>
      <c r="N726" s="138"/>
      <c r="O726" s="25"/>
    </row>
    <row r="727">
      <c r="A727" s="138"/>
      <c r="B727" s="25"/>
      <c r="C727" s="25"/>
      <c r="D727" s="138"/>
      <c r="E727" s="138"/>
      <c r="F727" s="138"/>
      <c r="G727" s="138"/>
      <c r="H727" s="138"/>
      <c r="I727" s="138"/>
      <c r="J727" s="138"/>
      <c r="K727" s="138"/>
      <c r="L727" s="138"/>
      <c r="M727" s="138"/>
      <c r="N727" s="138"/>
      <c r="O727" s="25"/>
    </row>
    <row r="728">
      <c r="A728" s="138"/>
      <c r="B728" s="25"/>
      <c r="C728" s="25"/>
      <c r="D728" s="138"/>
      <c r="E728" s="138"/>
      <c r="F728" s="138"/>
      <c r="G728" s="138"/>
      <c r="H728" s="138"/>
      <c r="I728" s="138"/>
      <c r="J728" s="138"/>
      <c r="K728" s="138"/>
      <c r="L728" s="138"/>
      <c r="M728" s="138"/>
      <c r="N728" s="138"/>
      <c r="O728" s="25"/>
    </row>
    <row r="729">
      <c r="A729" s="138"/>
      <c r="B729" s="25"/>
      <c r="C729" s="25"/>
      <c r="D729" s="138"/>
      <c r="E729" s="138"/>
      <c r="F729" s="138"/>
      <c r="G729" s="138"/>
      <c r="H729" s="138"/>
      <c r="I729" s="138"/>
      <c r="J729" s="138"/>
      <c r="K729" s="138"/>
      <c r="L729" s="138"/>
      <c r="M729" s="138"/>
      <c r="N729" s="138"/>
      <c r="O729" s="25"/>
    </row>
    <row r="730">
      <c r="A730" s="138"/>
      <c r="B730" s="25"/>
      <c r="C730" s="25"/>
      <c r="D730" s="138"/>
      <c r="E730" s="138"/>
      <c r="F730" s="138"/>
      <c r="G730" s="138"/>
      <c r="H730" s="138"/>
      <c r="I730" s="138"/>
      <c r="J730" s="138"/>
      <c r="K730" s="138"/>
      <c r="L730" s="138"/>
      <c r="M730" s="138"/>
      <c r="N730" s="138"/>
      <c r="O730" s="25"/>
    </row>
    <row r="731">
      <c r="A731" s="138"/>
      <c r="B731" s="25"/>
      <c r="C731" s="25"/>
      <c r="D731" s="138"/>
      <c r="E731" s="138"/>
      <c r="F731" s="138"/>
      <c r="G731" s="138"/>
      <c r="H731" s="138"/>
      <c r="I731" s="138"/>
      <c r="J731" s="138"/>
      <c r="K731" s="138"/>
      <c r="L731" s="138"/>
      <c r="M731" s="138"/>
      <c r="N731" s="138"/>
      <c r="O731" s="25"/>
    </row>
    <row r="732">
      <c r="A732" s="138"/>
      <c r="B732" s="25"/>
      <c r="C732" s="25"/>
      <c r="D732" s="138"/>
      <c r="E732" s="138"/>
      <c r="F732" s="138"/>
      <c r="G732" s="138"/>
      <c r="H732" s="138"/>
      <c r="I732" s="138"/>
      <c r="J732" s="138"/>
      <c r="K732" s="138"/>
      <c r="L732" s="138"/>
      <c r="M732" s="138"/>
      <c r="N732" s="138"/>
      <c r="O732" s="25"/>
    </row>
    <row r="733">
      <c r="A733" s="138"/>
      <c r="B733" s="25"/>
      <c r="C733" s="25"/>
      <c r="D733" s="138"/>
      <c r="E733" s="138"/>
      <c r="F733" s="138"/>
      <c r="G733" s="138"/>
      <c r="H733" s="138"/>
      <c r="I733" s="138"/>
      <c r="J733" s="138"/>
      <c r="K733" s="138"/>
      <c r="L733" s="138"/>
      <c r="M733" s="138"/>
      <c r="N733" s="138"/>
      <c r="O733" s="25"/>
    </row>
    <row r="734">
      <c r="A734" s="138"/>
      <c r="B734" s="25"/>
      <c r="C734" s="25"/>
      <c r="D734" s="138"/>
      <c r="E734" s="138"/>
      <c r="F734" s="138"/>
      <c r="G734" s="138"/>
      <c r="H734" s="138"/>
      <c r="I734" s="138"/>
      <c r="J734" s="138"/>
      <c r="K734" s="138"/>
      <c r="L734" s="138"/>
      <c r="M734" s="138"/>
      <c r="N734" s="138"/>
      <c r="O734" s="25"/>
    </row>
    <row r="735">
      <c r="A735" s="138"/>
      <c r="B735" s="25"/>
      <c r="C735" s="25"/>
      <c r="D735" s="138"/>
      <c r="E735" s="138"/>
      <c r="F735" s="138"/>
      <c r="G735" s="138"/>
      <c r="H735" s="138"/>
      <c r="I735" s="138"/>
      <c r="J735" s="138"/>
      <c r="K735" s="138"/>
      <c r="L735" s="138"/>
      <c r="M735" s="138"/>
      <c r="N735" s="138"/>
      <c r="O735" s="25"/>
    </row>
    <row r="736">
      <c r="A736" s="138"/>
      <c r="B736" s="25"/>
      <c r="C736" s="25"/>
      <c r="D736" s="138"/>
      <c r="E736" s="138"/>
      <c r="F736" s="138"/>
      <c r="G736" s="138"/>
      <c r="H736" s="138"/>
      <c r="I736" s="138"/>
      <c r="J736" s="138"/>
      <c r="K736" s="138"/>
      <c r="L736" s="138"/>
      <c r="M736" s="138"/>
      <c r="N736" s="138"/>
      <c r="O736" s="25"/>
    </row>
    <row r="737">
      <c r="A737" s="138"/>
      <c r="B737" s="25"/>
      <c r="C737" s="25"/>
      <c r="D737" s="138"/>
      <c r="E737" s="138"/>
      <c r="F737" s="138"/>
      <c r="G737" s="138"/>
      <c r="H737" s="138"/>
      <c r="I737" s="138"/>
      <c r="J737" s="138"/>
      <c r="K737" s="138"/>
      <c r="L737" s="138"/>
      <c r="M737" s="138"/>
      <c r="N737" s="138"/>
      <c r="O737" s="25"/>
    </row>
    <row r="738">
      <c r="A738" s="138"/>
      <c r="B738" s="25"/>
      <c r="C738" s="25"/>
      <c r="D738" s="138"/>
      <c r="E738" s="138"/>
      <c r="F738" s="138"/>
      <c r="G738" s="138"/>
      <c r="H738" s="138"/>
      <c r="I738" s="138"/>
      <c r="J738" s="138"/>
      <c r="K738" s="138"/>
      <c r="L738" s="138"/>
      <c r="M738" s="138"/>
      <c r="N738" s="138"/>
      <c r="O738" s="25"/>
    </row>
    <row r="739">
      <c r="A739" s="138"/>
      <c r="B739" s="25"/>
      <c r="C739" s="25"/>
      <c r="D739" s="138"/>
      <c r="E739" s="138"/>
      <c r="F739" s="138"/>
      <c r="G739" s="138"/>
      <c r="H739" s="138"/>
      <c r="I739" s="138"/>
      <c r="J739" s="138"/>
      <c r="K739" s="138"/>
      <c r="L739" s="138"/>
      <c r="M739" s="138"/>
      <c r="N739" s="138"/>
      <c r="O739" s="25"/>
    </row>
    <row r="740">
      <c r="A740" s="138"/>
      <c r="B740" s="25"/>
      <c r="C740" s="25"/>
      <c r="D740" s="138"/>
      <c r="E740" s="138"/>
      <c r="F740" s="138"/>
      <c r="G740" s="138"/>
      <c r="H740" s="138"/>
      <c r="I740" s="138"/>
      <c r="J740" s="138"/>
      <c r="K740" s="138"/>
      <c r="L740" s="138"/>
      <c r="M740" s="138"/>
      <c r="N740" s="138"/>
      <c r="O740" s="25"/>
    </row>
    <row r="741">
      <c r="A741" s="138"/>
      <c r="B741" s="25"/>
      <c r="C741" s="25"/>
      <c r="D741" s="138"/>
      <c r="E741" s="138"/>
      <c r="F741" s="138"/>
      <c r="G741" s="138"/>
      <c r="H741" s="138"/>
      <c r="I741" s="138"/>
      <c r="J741" s="138"/>
      <c r="K741" s="138"/>
      <c r="L741" s="138"/>
      <c r="M741" s="138"/>
      <c r="N741" s="138"/>
      <c r="O741" s="25"/>
    </row>
    <row r="742">
      <c r="A742" s="138"/>
      <c r="B742" s="25"/>
      <c r="C742" s="25"/>
      <c r="D742" s="138"/>
      <c r="E742" s="138"/>
      <c r="F742" s="138"/>
      <c r="G742" s="138"/>
      <c r="H742" s="138"/>
      <c r="I742" s="138"/>
      <c r="J742" s="138"/>
      <c r="K742" s="138"/>
      <c r="L742" s="138"/>
      <c r="M742" s="138"/>
      <c r="N742" s="138"/>
      <c r="O742" s="25"/>
    </row>
    <row r="743">
      <c r="A743" s="138"/>
      <c r="B743" s="25"/>
      <c r="C743" s="25"/>
      <c r="D743" s="138"/>
      <c r="E743" s="138"/>
      <c r="F743" s="138"/>
      <c r="G743" s="138"/>
      <c r="H743" s="138"/>
      <c r="I743" s="138"/>
      <c r="J743" s="138"/>
      <c r="K743" s="138"/>
      <c r="L743" s="138"/>
      <c r="M743" s="138"/>
      <c r="N743" s="138"/>
      <c r="O743" s="25"/>
    </row>
    <row r="744">
      <c r="A744" s="138"/>
      <c r="B744" s="25"/>
      <c r="C744" s="25"/>
      <c r="D744" s="138"/>
      <c r="E744" s="138"/>
      <c r="F744" s="138"/>
      <c r="G744" s="138"/>
      <c r="H744" s="138"/>
      <c r="I744" s="138"/>
      <c r="J744" s="138"/>
      <c r="K744" s="138"/>
      <c r="L744" s="138"/>
      <c r="M744" s="138"/>
      <c r="N744" s="138"/>
      <c r="O744" s="25"/>
    </row>
    <row r="745">
      <c r="A745" s="138"/>
      <c r="B745" s="25"/>
      <c r="C745" s="25"/>
      <c r="D745" s="138"/>
      <c r="E745" s="138"/>
      <c r="F745" s="138"/>
      <c r="G745" s="138"/>
      <c r="H745" s="138"/>
      <c r="I745" s="138"/>
      <c r="J745" s="138"/>
      <c r="K745" s="138"/>
      <c r="L745" s="138"/>
      <c r="M745" s="138"/>
      <c r="N745" s="138"/>
      <c r="O745" s="25"/>
    </row>
    <row r="746">
      <c r="A746" s="138"/>
      <c r="B746" s="25"/>
      <c r="C746" s="25"/>
      <c r="D746" s="138"/>
      <c r="E746" s="138"/>
      <c r="F746" s="138"/>
      <c r="G746" s="138"/>
      <c r="H746" s="138"/>
      <c r="I746" s="138"/>
      <c r="J746" s="138"/>
      <c r="K746" s="138"/>
      <c r="L746" s="138"/>
      <c r="M746" s="138"/>
      <c r="N746" s="138"/>
      <c r="O746" s="25"/>
    </row>
    <row r="747">
      <c r="A747" s="138"/>
      <c r="B747" s="25"/>
      <c r="C747" s="25"/>
      <c r="D747" s="138"/>
      <c r="E747" s="138"/>
      <c r="F747" s="138"/>
      <c r="G747" s="138"/>
      <c r="H747" s="138"/>
      <c r="I747" s="138"/>
      <c r="J747" s="138"/>
      <c r="K747" s="138"/>
      <c r="L747" s="138"/>
      <c r="M747" s="138"/>
      <c r="N747" s="138"/>
      <c r="O747" s="25"/>
    </row>
    <row r="748">
      <c r="A748" s="138"/>
      <c r="B748" s="25"/>
      <c r="C748" s="25"/>
      <c r="D748" s="138"/>
      <c r="E748" s="138"/>
      <c r="F748" s="138"/>
      <c r="G748" s="138"/>
      <c r="H748" s="138"/>
      <c r="I748" s="138"/>
      <c r="J748" s="138"/>
      <c r="K748" s="138"/>
      <c r="L748" s="138"/>
      <c r="M748" s="138"/>
      <c r="N748" s="138"/>
      <c r="O748" s="25"/>
    </row>
    <row r="749">
      <c r="A749" s="138"/>
      <c r="B749" s="25"/>
      <c r="C749" s="25"/>
      <c r="D749" s="138"/>
      <c r="E749" s="138"/>
      <c r="F749" s="138"/>
      <c r="G749" s="138"/>
      <c r="H749" s="138"/>
      <c r="I749" s="138"/>
      <c r="J749" s="138"/>
      <c r="K749" s="138"/>
      <c r="L749" s="138"/>
      <c r="M749" s="138"/>
      <c r="N749" s="138"/>
      <c r="O749" s="25"/>
    </row>
    <row r="750">
      <c r="A750" s="138"/>
      <c r="B750" s="25"/>
      <c r="C750" s="25"/>
      <c r="D750" s="138"/>
      <c r="E750" s="138"/>
      <c r="F750" s="138"/>
      <c r="G750" s="138"/>
      <c r="H750" s="138"/>
      <c r="I750" s="138"/>
      <c r="J750" s="138"/>
      <c r="K750" s="138"/>
      <c r="L750" s="138"/>
      <c r="M750" s="138"/>
      <c r="N750" s="138"/>
      <c r="O750" s="25"/>
    </row>
    <row r="751">
      <c r="A751" s="138"/>
      <c r="B751" s="25"/>
      <c r="C751" s="25"/>
      <c r="D751" s="138"/>
      <c r="E751" s="138"/>
      <c r="F751" s="138"/>
      <c r="G751" s="138"/>
      <c r="H751" s="138"/>
      <c r="I751" s="138"/>
      <c r="J751" s="138"/>
      <c r="K751" s="138"/>
      <c r="L751" s="138"/>
      <c r="M751" s="138"/>
      <c r="N751" s="138"/>
      <c r="O751" s="25"/>
    </row>
    <row r="752">
      <c r="A752" s="138"/>
      <c r="B752" s="25"/>
      <c r="C752" s="25"/>
      <c r="D752" s="138"/>
      <c r="E752" s="138"/>
      <c r="F752" s="138"/>
      <c r="G752" s="138"/>
      <c r="H752" s="138"/>
      <c r="I752" s="138"/>
      <c r="J752" s="138"/>
      <c r="K752" s="138"/>
      <c r="L752" s="138"/>
      <c r="M752" s="138"/>
      <c r="N752" s="138"/>
      <c r="O752" s="25"/>
    </row>
    <row r="753">
      <c r="A753" s="138"/>
      <c r="B753" s="25"/>
      <c r="C753" s="25"/>
      <c r="D753" s="138"/>
      <c r="E753" s="138"/>
      <c r="F753" s="138"/>
      <c r="G753" s="138"/>
      <c r="H753" s="138"/>
      <c r="I753" s="138"/>
      <c r="J753" s="138"/>
      <c r="K753" s="138"/>
      <c r="L753" s="138"/>
      <c r="M753" s="138"/>
      <c r="N753" s="138"/>
      <c r="O753" s="25"/>
    </row>
    <row r="754">
      <c r="A754" s="138"/>
      <c r="B754" s="25"/>
      <c r="C754" s="25"/>
      <c r="D754" s="138"/>
      <c r="E754" s="138"/>
      <c r="F754" s="138"/>
      <c r="G754" s="138"/>
      <c r="H754" s="138"/>
      <c r="I754" s="138"/>
      <c r="J754" s="138"/>
      <c r="K754" s="138"/>
      <c r="L754" s="138"/>
      <c r="M754" s="138"/>
      <c r="N754" s="138"/>
      <c r="O754" s="25"/>
    </row>
    <row r="755">
      <c r="A755" s="138"/>
      <c r="B755" s="25"/>
      <c r="C755" s="25"/>
      <c r="D755" s="138"/>
      <c r="E755" s="138"/>
      <c r="F755" s="138"/>
      <c r="G755" s="138"/>
      <c r="H755" s="138"/>
      <c r="I755" s="138"/>
      <c r="J755" s="138"/>
      <c r="K755" s="138"/>
      <c r="L755" s="138"/>
      <c r="M755" s="138"/>
      <c r="N755" s="138"/>
      <c r="O755" s="25"/>
    </row>
    <row r="756">
      <c r="A756" s="138"/>
      <c r="B756" s="25"/>
      <c r="C756" s="25"/>
      <c r="D756" s="138"/>
      <c r="E756" s="138"/>
      <c r="F756" s="138"/>
      <c r="G756" s="138"/>
      <c r="H756" s="138"/>
      <c r="I756" s="138"/>
      <c r="J756" s="138"/>
      <c r="K756" s="138"/>
      <c r="L756" s="138"/>
      <c r="M756" s="138"/>
      <c r="N756" s="138"/>
      <c r="O756" s="25"/>
    </row>
    <row r="757">
      <c r="A757" s="138"/>
      <c r="B757" s="25"/>
      <c r="C757" s="25"/>
      <c r="D757" s="138"/>
      <c r="E757" s="138"/>
      <c r="F757" s="138"/>
      <c r="G757" s="138"/>
      <c r="H757" s="138"/>
      <c r="I757" s="138"/>
      <c r="J757" s="138"/>
      <c r="K757" s="138"/>
      <c r="L757" s="138"/>
      <c r="M757" s="138"/>
      <c r="N757" s="138"/>
      <c r="O757" s="25"/>
    </row>
    <row r="758">
      <c r="A758" s="138"/>
      <c r="B758" s="25"/>
      <c r="C758" s="25"/>
      <c r="D758" s="138"/>
      <c r="E758" s="138"/>
      <c r="F758" s="138"/>
      <c r="G758" s="138"/>
      <c r="H758" s="138"/>
      <c r="I758" s="138"/>
      <c r="J758" s="138"/>
      <c r="K758" s="138"/>
      <c r="L758" s="138"/>
      <c r="M758" s="138"/>
      <c r="N758" s="138"/>
      <c r="O758" s="25"/>
    </row>
    <row r="759">
      <c r="A759" s="138"/>
      <c r="B759" s="25"/>
      <c r="C759" s="25"/>
      <c r="D759" s="138"/>
      <c r="E759" s="138"/>
      <c r="F759" s="138"/>
      <c r="G759" s="138"/>
      <c r="H759" s="138"/>
      <c r="I759" s="138"/>
      <c r="J759" s="138"/>
      <c r="K759" s="138"/>
      <c r="L759" s="138"/>
      <c r="M759" s="138"/>
      <c r="N759" s="138"/>
      <c r="O759" s="25"/>
    </row>
    <row r="760">
      <c r="A760" s="138"/>
      <c r="B760" s="25"/>
      <c r="C760" s="25"/>
      <c r="D760" s="138"/>
      <c r="E760" s="138"/>
      <c r="F760" s="138"/>
      <c r="G760" s="138"/>
      <c r="H760" s="138"/>
      <c r="I760" s="138"/>
      <c r="J760" s="138"/>
      <c r="K760" s="138"/>
      <c r="L760" s="138"/>
      <c r="M760" s="138"/>
      <c r="N760" s="138"/>
      <c r="O760" s="25"/>
    </row>
    <row r="761">
      <c r="A761" s="138"/>
      <c r="B761" s="25"/>
      <c r="C761" s="25"/>
      <c r="D761" s="138"/>
      <c r="E761" s="138"/>
      <c r="F761" s="138"/>
      <c r="G761" s="138"/>
      <c r="H761" s="138"/>
      <c r="I761" s="138"/>
      <c r="J761" s="138"/>
      <c r="K761" s="138"/>
      <c r="L761" s="138"/>
      <c r="M761" s="138"/>
      <c r="N761" s="138"/>
      <c r="O761" s="25"/>
    </row>
    <row r="762">
      <c r="A762" s="138"/>
      <c r="B762" s="25"/>
      <c r="C762" s="25"/>
      <c r="D762" s="138"/>
      <c r="E762" s="138"/>
      <c r="F762" s="138"/>
      <c r="G762" s="138"/>
      <c r="H762" s="138"/>
      <c r="I762" s="138"/>
      <c r="J762" s="138"/>
      <c r="K762" s="138"/>
      <c r="L762" s="138"/>
      <c r="M762" s="138"/>
      <c r="N762" s="138"/>
      <c r="O762" s="25"/>
    </row>
    <row r="763">
      <c r="A763" s="138"/>
      <c r="B763" s="25"/>
      <c r="C763" s="25"/>
      <c r="D763" s="138"/>
      <c r="E763" s="138"/>
      <c r="F763" s="138"/>
      <c r="G763" s="138"/>
      <c r="H763" s="138"/>
      <c r="I763" s="138"/>
      <c r="J763" s="138"/>
      <c r="K763" s="138"/>
      <c r="L763" s="138"/>
      <c r="M763" s="138"/>
      <c r="N763" s="138"/>
      <c r="O763" s="25"/>
    </row>
    <row r="764">
      <c r="A764" s="138"/>
      <c r="B764" s="25"/>
      <c r="C764" s="25"/>
      <c r="D764" s="138"/>
      <c r="E764" s="138"/>
      <c r="F764" s="138"/>
      <c r="G764" s="138"/>
      <c r="H764" s="138"/>
      <c r="I764" s="138"/>
      <c r="J764" s="138"/>
      <c r="K764" s="138"/>
      <c r="L764" s="138"/>
      <c r="M764" s="138"/>
      <c r="N764" s="138"/>
      <c r="O764" s="25"/>
    </row>
    <row r="765">
      <c r="A765" s="138"/>
      <c r="B765" s="25"/>
      <c r="C765" s="25"/>
      <c r="D765" s="138"/>
      <c r="E765" s="138"/>
      <c r="F765" s="138"/>
      <c r="G765" s="138"/>
      <c r="H765" s="138"/>
      <c r="I765" s="138"/>
      <c r="J765" s="138"/>
      <c r="K765" s="138"/>
      <c r="L765" s="138"/>
      <c r="M765" s="138"/>
      <c r="N765" s="138"/>
      <c r="O765" s="25"/>
    </row>
    <row r="766">
      <c r="A766" s="138"/>
      <c r="B766" s="25"/>
      <c r="C766" s="25"/>
      <c r="D766" s="138"/>
      <c r="E766" s="138"/>
      <c r="F766" s="138"/>
      <c r="G766" s="138"/>
      <c r="H766" s="138"/>
      <c r="I766" s="138"/>
      <c r="J766" s="138"/>
      <c r="K766" s="138"/>
      <c r="L766" s="138"/>
      <c r="M766" s="138"/>
      <c r="N766" s="138"/>
      <c r="O766" s="25"/>
    </row>
    <row r="767">
      <c r="A767" s="138"/>
      <c r="B767" s="25"/>
      <c r="C767" s="25"/>
      <c r="D767" s="138"/>
      <c r="E767" s="138"/>
      <c r="F767" s="138"/>
      <c r="G767" s="138"/>
      <c r="H767" s="138"/>
      <c r="I767" s="138"/>
      <c r="J767" s="138"/>
      <c r="K767" s="138"/>
      <c r="L767" s="138"/>
      <c r="M767" s="138"/>
      <c r="N767" s="138"/>
      <c r="O767" s="25"/>
    </row>
    <row r="768">
      <c r="A768" s="138"/>
      <c r="B768" s="25"/>
      <c r="C768" s="25"/>
      <c r="D768" s="138"/>
      <c r="E768" s="138"/>
      <c r="F768" s="138"/>
      <c r="G768" s="138"/>
      <c r="H768" s="138"/>
      <c r="I768" s="138"/>
      <c r="J768" s="138"/>
      <c r="K768" s="138"/>
      <c r="L768" s="138"/>
      <c r="M768" s="138"/>
      <c r="N768" s="138"/>
      <c r="O768" s="25"/>
    </row>
    <row r="769">
      <c r="A769" s="138"/>
      <c r="B769" s="25"/>
      <c r="C769" s="25"/>
      <c r="D769" s="138"/>
      <c r="E769" s="138"/>
      <c r="F769" s="138"/>
      <c r="G769" s="138"/>
      <c r="H769" s="138"/>
      <c r="I769" s="138"/>
      <c r="J769" s="138"/>
      <c r="K769" s="138"/>
      <c r="L769" s="138"/>
      <c r="M769" s="138"/>
      <c r="N769" s="138"/>
      <c r="O769" s="25"/>
    </row>
    <row r="770">
      <c r="A770" s="138"/>
      <c r="B770" s="25"/>
      <c r="C770" s="25"/>
      <c r="D770" s="138"/>
      <c r="E770" s="138"/>
      <c r="F770" s="138"/>
      <c r="G770" s="138"/>
      <c r="H770" s="138"/>
      <c r="I770" s="138"/>
      <c r="J770" s="138"/>
      <c r="K770" s="138"/>
      <c r="L770" s="138"/>
      <c r="M770" s="138"/>
      <c r="N770" s="138"/>
      <c r="O770" s="25"/>
    </row>
    <row r="771">
      <c r="A771" s="138"/>
      <c r="B771" s="25"/>
      <c r="C771" s="25"/>
      <c r="D771" s="138"/>
      <c r="E771" s="138"/>
      <c r="F771" s="138"/>
      <c r="G771" s="138"/>
      <c r="H771" s="138"/>
      <c r="I771" s="138"/>
      <c r="J771" s="138"/>
      <c r="K771" s="138"/>
      <c r="L771" s="138"/>
      <c r="M771" s="138"/>
      <c r="N771" s="138"/>
      <c r="O771" s="25"/>
    </row>
    <row r="772">
      <c r="A772" s="138"/>
      <c r="B772" s="25"/>
      <c r="C772" s="25"/>
      <c r="D772" s="138"/>
      <c r="E772" s="138"/>
      <c r="F772" s="138"/>
      <c r="G772" s="138"/>
      <c r="H772" s="138"/>
      <c r="I772" s="138"/>
      <c r="J772" s="138"/>
      <c r="K772" s="138"/>
      <c r="L772" s="138"/>
      <c r="M772" s="138"/>
      <c r="N772" s="138"/>
      <c r="O772" s="25"/>
    </row>
    <row r="773">
      <c r="A773" s="138"/>
      <c r="B773" s="25"/>
      <c r="C773" s="25"/>
      <c r="D773" s="138"/>
      <c r="E773" s="138"/>
      <c r="F773" s="138"/>
      <c r="G773" s="138"/>
      <c r="H773" s="138"/>
      <c r="I773" s="138"/>
      <c r="J773" s="138"/>
      <c r="K773" s="138"/>
      <c r="L773" s="138"/>
      <c r="M773" s="138"/>
      <c r="N773" s="138"/>
      <c r="O773" s="25"/>
    </row>
    <row r="774">
      <c r="A774" s="138"/>
      <c r="B774" s="25"/>
      <c r="C774" s="25"/>
      <c r="D774" s="138"/>
      <c r="E774" s="138"/>
      <c r="F774" s="138"/>
      <c r="G774" s="138"/>
      <c r="H774" s="138"/>
      <c r="I774" s="138"/>
      <c r="J774" s="138"/>
      <c r="K774" s="138"/>
      <c r="L774" s="138"/>
      <c r="M774" s="138"/>
      <c r="N774" s="138"/>
      <c r="O774" s="25"/>
    </row>
    <row r="775">
      <c r="A775" s="138"/>
      <c r="B775" s="25"/>
      <c r="C775" s="25"/>
      <c r="D775" s="138"/>
      <c r="E775" s="138"/>
      <c r="F775" s="138"/>
      <c r="G775" s="138"/>
      <c r="H775" s="138"/>
      <c r="I775" s="138"/>
      <c r="J775" s="138"/>
      <c r="K775" s="138"/>
      <c r="L775" s="138"/>
      <c r="M775" s="138"/>
      <c r="N775" s="138"/>
      <c r="O775" s="25"/>
    </row>
    <row r="776">
      <c r="A776" s="138"/>
      <c r="B776" s="25"/>
      <c r="C776" s="25"/>
      <c r="D776" s="138"/>
      <c r="E776" s="138"/>
      <c r="F776" s="138"/>
      <c r="G776" s="138"/>
      <c r="H776" s="138"/>
      <c r="I776" s="138"/>
      <c r="J776" s="138"/>
      <c r="K776" s="138"/>
      <c r="L776" s="138"/>
      <c r="M776" s="138"/>
      <c r="N776" s="138"/>
      <c r="O776" s="25"/>
    </row>
    <row r="777">
      <c r="A777" s="138"/>
      <c r="B777" s="25"/>
      <c r="C777" s="25"/>
      <c r="D777" s="138"/>
      <c r="E777" s="138"/>
      <c r="F777" s="138"/>
      <c r="G777" s="138"/>
      <c r="H777" s="138"/>
      <c r="I777" s="138"/>
      <c r="J777" s="138"/>
      <c r="K777" s="138"/>
      <c r="L777" s="138"/>
      <c r="M777" s="138"/>
      <c r="N777" s="138"/>
      <c r="O777" s="25"/>
    </row>
    <row r="778">
      <c r="A778" s="138"/>
      <c r="B778" s="25"/>
      <c r="C778" s="25"/>
      <c r="D778" s="138"/>
      <c r="E778" s="138"/>
      <c r="F778" s="138"/>
      <c r="G778" s="138"/>
      <c r="H778" s="138"/>
      <c r="I778" s="138"/>
      <c r="J778" s="138"/>
      <c r="K778" s="138"/>
      <c r="L778" s="138"/>
      <c r="M778" s="138"/>
      <c r="N778" s="138"/>
      <c r="O778" s="25"/>
    </row>
    <row r="779">
      <c r="A779" s="138"/>
      <c r="B779" s="25"/>
      <c r="C779" s="25"/>
      <c r="D779" s="138"/>
      <c r="E779" s="138"/>
      <c r="F779" s="138"/>
      <c r="G779" s="138"/>
      <c r="H779" s="138"/>
      <c r="I779" s="138"/>
      <c r="J779" s="138"/>
      <c r="K779" s="138"/>
      <c r="L779" s="138"/>
      <c r="M779" s="138"/>
      <c r="N779" s="138"/>
      <c r="O779" s="25"/>
    </row>
    <row r="780">
      <c r="A780" s="138"/>
      <c r="B780" s="25"/>
      <c r="C780" s="25"/>
      <c r="D780" s="138"/>
      <c r="E780" s="138"/>
      <c r="F780" s="138"/>
      <c r="G780" s="138"/>
      <c r="H780" s="138"/>
      <c r="I780" s="138"/>
      <c r="J780" s="138"/>
      <c r="K780" s="138"/>
      <c r="L780" s="138"/>
      <c r="M780" s="138"/>
      <c r="N780" s="138"/>
      <c r="O780" s="25"/>
    </row>
    <row r="781">
      <c r="A781" s="138"/>
      <c r="B781" s="25"/>
      <c r="C781" s="25"/>
      <c r="D781" s="138"/>
      <c r="E781" s="138"/>
      <c r="F781" s="138"/>
      <c r="G781" s="138"/>
      <c r="H781" s="138"/>
      <c r="I781" s="138"/>
      <c r="J781" s="138"/>
      <c r="K781" s="138"/>
      <c r="L781" s="138"/>
      <c r="M781" s="138"/>
      <c r="N781" s="138"/>
      <c r="O781" s="25"/>
    </row>
    <row r="782">
      <c r="A782" s="138"/>
      <c r="B782" s="25"/>
      <c r="C782" s="25"/>
      <c r="D782" s="138"/>
      <c r="E782" s="138"/>
      <c r="F782" s="138"/>
      <c r="G782" s="138"/>
      <c r="H782" s="138"/>
      <c r="I782" s="138"/>
      <c r="J782" s="138"/>
      <c r="K782" s="138"/>
      <c r="L782" s="138"/>
      <c r="M782" s="138"/>
      <c r="N782" s="138"/>
      <c r="O782" s="25"/>
    </row>
    <row r="783">
      <c r="A783" s="138"/>
      <c r="B783" s="25"/>
      <c r="C783" s="25"/>
      <c r="D783" s="138"/>
      <c r="E783" s="138"/>
      <c r="F783" s="138"/>
      <c r="G783" s="138"/>
      <c r="H783" s="138"/>
      <c r="I783" s="138"/>
      <c r="J783" s="138"/>
      <c r="K783" s="138"/>
      <c r="L783" s="138"/>
      <c r="M783" s="138"/>
      <c r="N783" s="138"/>
      <c r="O783" s="25"/>
    </row>
    <row r="784">
      <c r="A784" s="138"/>
      <c r="B784" s="25"/>
      <c r="C784" s="25"/>
      <c r="D784" s="138"/>
      <c r="E784" s="138"/>
      <c r="F784" s="138"/>
      <c r="G784" s="138"/>
      <c r="H784" s="138"/>
      <c r="I784" s="138"/>
      <c r="J784" s="138"/>
      <c r="K784" s="138"/>
      <c r="L784" s="138"/>
      <c r="M784" s="138"/>
      <c r="N784" s="138"/>
      <c r="O784" s="25"/>
    </row>
    <row r="785">
      <c r="A785" s="138"/>
      <c r="B785" s="25"/>
      <c r="C785" s="25"/>
      <c r="D785" s="138"/>
      <c r="E785" s="138"/>
      <c r="F785" s="138"/>
      <c r="G785" s="138"/>
      <c r="H785" s="138"/>
      <c r="I785" s="138"/>
      <c r="J785" s="138"/>
      <c r="K785" s="138"/>
      <c r="L785" s="138"/>
      <c r="M785" s="138"/>
      <c r="N785" s="138"/>
      <c r="O785" s="25"/>
    </row>
    <row r="786">
      <c r="A786" s="138"/>
      <c r="B786" s="25"/>
      <c r="C786" s="25"/>
      <c r="D786" s="138"/>
      <c r="E786" s="138"/>
      <c r="F786" s="138"/>
      <c r="G786" s="138"/>
      <c r="H786" s="138"/>
      <c r="I786" s="138"/>
      <c r="J786" s="138"/>
      <c r="K786" s="138"/>
      <c r="L786" s="138"/>
      <c r="M786" s="138"/>
      <c r="N786" s="138"/>
      <c r="O786" s="25"/>
    </row>
    <row r="787">
      <c r="A787" s="138"/>
      <c r="B787" s="25"/>
      <c r="C787" s="25"/>
      <c r="D787" s="138"/>
      <c r="E787" s="138"/>
      <c r="F787" s="138"/>
      <c r="G787" s="138"/>
      <c r="H787" s="138"/>
      <c r="I787" s="138"/>
      <c r="J787" s="138"/>
      <c r="K787" s="138"/>
      <c r="L787" s="138"/>
      <c r="M787" s="138"/>
      <c r="N787" s="138"/>
      <c r="O787" s="25"/>
    </row>
    <row r="788">
      <c r="A788" s="138"/>
      <c r="B788" s="25"/>
      <c r="C788" s="25"/>
      <c r="D788" s="138"/>
      <c r="E788" s="138"/>
      <c r="F788" s="138"/>
      <c r="G788" s="138"/>
      <c r="H788" s="138"/>
      <c r="I788" s="138"/>
      <c r="J788" s="138"/>
      <c r="K788" s="138"/>
      <c r="L788" s="138"/>
      <c r="M788" s="138"/>
      <c r="N788" s="138"/>
      <c r="O788" s="25"/>
    </row>
    <row r="789">
      <c r="A789" s="138"/>
      <c r="B789" s="25"/>
      <c r="C789" s="25"/>
      <c r="D789" s="138"/>
      <c r="E789" s="138"/>
      <c r="F789" s="138"/>
      <c r="G789" s="138"/>
      <c r="H789" s="138"/>
      <c r="I789" s="138"/>
      <c r="J789" s="138"/>
      <c r="K789" s="138"/>
      <c r="L789" s="138"/>
      <c r="M789" s="138"/>
      <c r="N789" s="138"/>
      <c r="O789" s="25"/>
    </row>
    <row r="790">
      <c r="A790" s="138"/>
      <c r="B790" s="25"/>
      <c r="C790" s="25"/>
      <c r="D790" s="138"/>
      <c r="E790" s="138"/>
      <c r="F790" s="138"/>
      <c r="G790" s="138"/>
      <c r="H790" s="138"/>
      <c r="I790" s="138"/>
      <c r="J790" s="138"/>
      <c r="K790" s="138"/>
      <c r="L790" s="138"/>
      <c r="M790" s="138"/>
      <c r="N790" s="138"/>
      <c r="O790" s="25"/>
    </row>
    <row r="791">
      <c r="A791" s="138"/>
      <c r="B791" s="25"/>
      <c r="C791" s="25"/>
      <c r="D791" s="138"/>
      <c r="E791" s="138"/>
      <c r="F791" s="138"/>
      <c r="G791" s="138"/>
      <c r="H791" s="138"/>
      <c r="I791" s="138"/>
      <c r="J791" s="138"/>
      <c r="K791" s="138"/>
      <c r="L791" s="138"/>
      <c r="M791" s="138"/>
      <c r="N791" s="138"/>
      <c r="O791" s="25"/>
    </row>
    <row r="792">
      <c r="A792" s="138"/>
      <c r="B792" s="25"/>
      <c r="C792" s="25"/>
      <c r="D792" s="138"/>
      <c r="E792" s="138"/>
      <c r="F792" s="138"/>
      <c r="G792" s="138"/>
      <c r="H792" s="138"/>
      <c r="I792" s="138"/>
      <c r="J792" s="138"/>
      <c r="K792" s="138"/>
      <c r="L792" s="138"/>
      <c r="M792" s="138"/>
      <c r="N792" s="138"/>
      <c r="O792" s="25"/>
    </row>
    <row r="793">
      <c r="A793" s="138"/>
      <c r="B793" s="25"/>
      <c r="C793" s="25"/>
      <c r="D793" s="138"/>
      <c r="E793" s="138"/>
      <c r="F793" s="138"/>
      <c r="G793" s="138"/>
      <c r="H793" s="138"/>
      <c r="I793" s="138"/>
      <c r="J793" s="138"/>
      <c r="K793" s="138"/>
      <c r="L793" s="138"/>
      <c r="M793" s="138"/>
      <c r="N793" s="138"/>
      <c r="O793" s="25"/>
    </row>
    <row r="794">
      <c r="A794" s="138"/>
      <c r="B794" s="25"/>
      <c r="C794" s="25"/>
      <c r="D794" s="138"/>
      <c r="E794" s="138"/>
      <c r="F794" s="138"/>
      <c r="G794" s="138"/>
      <c r="H794" s="138"/>
      <c r="I794" s="138"/>
      <c r="J794" s="138"/>
      <c r="K794" s="138"/>
      <c r="L794" s="138"/>
      <c r="M794" s="138"/>
      <c r="N794" s="138"/>
      <c r="O794" s="25"/>
    </row>
    <row r="795">
      <c r="A795" s="138"/>
      <c r="B795" s="25"/>
      <c r="C795" s="25"/>
      <c r="D795" s="138"/>
      <c r="E795" s="138"/>
      <c r="F795" s="138"/>
      <c r="G795" s="138"/>
      <c r="H795" s="138"/>
      <c r="I795" s="138"/>
      <c r="J795" s="138"/>
      <c r="K795" s="138"/>
      <c r="L795" s="138"/>
      <c r="M795" s="138"/>
      <c r="N795" s="138"/>
      <c r="O795" s="25"/>
    </row>
    <row r="796">
      <c r="A796" s="138"/>
      <c r="B796" s="25"/>
      <c r="C796" s="25"/>
      <c r="D796" s="138"/>
      <c r="E796" s="138"/>
      <c r="F796" s="138"/>
      <c r="G796" s="138"/>
      <c r="H796" s="138"/>
      <c r="I796" s="138"/>
      <c r="J796" s="138"/>
      <c r="K796" s="138"/>
      <c r="L796" s="138"/>
      <c r="M796" s="138"/>
      <c r="N796" s="138"/>
      <c r="O796" s="25"/>
    </row>
    <row r="797">
      <c r="A797" s="138"/>
      <c r="B797" s="25"/>
      <c r="C797" s="25"/>
      <c r="D797" s="138"/>
      <c r="E797" s="138"/>
      <c r="F797" s="138"/>
      <c r="G797" s="138"/>
      <c r="H797" s="138"/>
      <c r="I797" s="138"/>
      <c r="J797" s="138"/>
      <c r="K797" s="138"/>
      <c r="L797" s="138"/>
      <c r="M797" s="138"/>
      <c r="N797" s="138"/>
      <c r="O797" s="25"/>
    </row>
    <row r="798">
      <c r="A798" s="138"/>
      <c r="B798" s="25"/>
      <c r="C798" s="25"/>
      <c r="D798" s="138"/>
      <c r="E798" s="138"/>
      <c r="F798" s="138"/>
      <c r="G798" s="138"/>
      <c r="H798" s="138"/>
      <c r="I798" s="138"/>
      <c r="J798" s="138"/>
      <c r="K798" s="138"/>
      <c r="L798" s="138"/>
      <c r="M798" s="138"/>
      <c r="N798" s="138"/>
      <c r="O798" s="25"/>
    </row>
    <row r="799">
      <c r="A799" s="138"/>
      <c r="B799" s="25"/>
      <c r="C799" s="25"/>
      <c r="D799" s="138"/>
      <c r="E799" s="138"/>
      <c r="F799" s="138"/>
      <c r="G799" s="138"/>
      <c r="H799" s="138"/>
      <c r="I799" s="138"/>
      <c r="J799" s="138"/>
      <c r="K799" s="138"/>
      <c r="L799" s="138"/>
      <c r="M799" s="138"/>
      <c r="N799" s="138"/>
      <c r="O799" s="25"/>
    </row>
    <row r="800">
      <c r="A800" s="138"/>
      <c r="B800" s="25"/>
      <c r="C800" s="25"/>
      <c r="D800" s="138"/>
      <c r="E800" s="138"/>
      <c r="F800" s="138"/>
      <c r="G800" s="138"/>
      <c r="H800" s="138"/>
      <c r="I800" s="138"/>
      <c r="J800" s="138"/>
      <c r="K800" s="138"/>
      <c r="L800" s="138"/>
      <c r="M800" s="138"/>
      <c r="N800" s="138"/>
      <c r="O800" s="25"/>
    </row>
    <row r="801">
      <c r="A801" s="138"/>
      <c r="B801" s="25"/>
      <c r="C801" s="25"/>
      <c r="D801" s="138"/>
      <c r="E801" s="138"/>
      <c r="F801" s="138"/>
      <c r="G801" s="138"/>
      <c r="H801" s="138"/>
      <c r="I801" s="138"/>
      <c r="J801" s="138"/>
      <c r="K801" s="138"/>
      <c r="L801" s="138"/>
      <c r="M801" s="138"/>
      <c r="N801" s="138"/>
      <c r="O801" s="25"/>
    </row>
    <row r="802">
      <c r="A802" s="138"/>
      <c r="B802" s="25"/>
      <c r="C802" s="25"/>
      <c r="D802" s="138"/>
      <c r="E802" s="138"/>
      <c r="F802" s="138"/>
      <c r="G802" s="138"/>
      <c r="H802" s="138"/>
      <c r="I802" s="138"/>
      <c r="J802" s="138"/>
      <c r="K802" s="138"/>
      <c r="L802" s="138"/>
      <c r="M802" s="138"/>
      <c r="N802" s="138"/>
      <c r="O802" s="25"/>
    </row>
    <row r="803">
      <c r="A803" s="138"/>
      <c r="B803" s="25"/>
      <c r="C803" s="25"/>
      <c r="D803" s="138"/>
      <c r="E803" s="138"/>
      <c r="F803" s="138"/>
      <c r="G803" s="138"/>
      <c r="H803" s="138"/>
      <c r="I803" s="138"/>
      <c r="J803" s="138"/>
      <c r="K803" s="138"/>
      <c r="L803" s="138"/>
      <c r="M803" s="138"/>
      <c r="N803" s="138"/>
      <c r="O803" s="25"/>
    </row>
    <row r="804">
      <c r="A804" s="138"/>
      <c r="B804" s="25"/>
      <c r="C804" s="25"/>
      <c r="D804" s="138"/>
      <c r="E804" s="138"/>
      <c r="F804" s="138"/>
      <c r="G804" s="138"/>
      <c r="H804" s="138"/>
      <c r="I804" s="138"/>
      <c r="J804" s="138"/>
      <c r="K804" s="138"/>
      <c r="L804" s="138"/>
      <c r="M804" s="138"/>
      <c r="N804" s="138"/>
      <c r="O804" s="25"/>
    </row>
    <row r="805">
      <c r="A805" s="138"/>
      <c r="B805" s="25"/>
      <c r="C805" s="25"/>
      <c r="D805" s="138"/>
      <c r="E805" s="138"/>
      <c r="F805" s="138"/>
      <c r="G805" s="138"/>
      <c r="H805" s="138"/>
      <c r="I805" s="138"/>
      <c r="J805" s="138"/>
      <c r="K805" s="138"/>
      <c r="L805" s="138"/>
      <c r="M805" s="138"/>
      <c r="N805" s="138"/>
      <c r="O805" s="25"/>
    </row>
    <row r="806">
      <c r="A806" s="138"/>
      <c r="B806" s="25"/>
      <c r="C806" s="25"/>
      <c r="D806" s="138"/>
      <c r="E806" s="138"/>
      <c r="F806" s="138"/>
      <c r="G806" s="138"/>
      <c r="H806" s="138"/>
      <c r="I806" s="138"/>
      <c r="J806" s="138"/>
      <c r="K806" s="138"/>
      <c r="L806" s="138"/>
      <c r="M806" s="138"/>
      <c r="N806" s="138"/>
      <c r="O806" s="25"/>
    </row>
    <row r="807">
      <c r="A807" s="138"/>
      <c r="B807" s="25"/>
      <c r="C807" s="25"/>
      <c r="D807" s="138"/>
      <c r="E807" s="138"/>
      <c r="F807" s="138"/>
      <c r="G807" s="138"/>
      <c r="H807" s="138"/>
      <c r="I807" s="138"/>
      <c r="J807" s="138"/>
      <c r="K807" s="138"/>
      <c r="L807" s="138"/>
      <c r="M807" s="138"/>
      <c r="N807" s="138"/>
      <c r="O807" s="25"/>
    </row>
    <row r="808">
      <c r="A808" s="138"/>
      <c r="B808" s="25"/>
      <c r="C808" s="25"/>
      <c r="D808" s="138"/>
      <c r="E808" s="138"/>
      <c r="F808" s="138"/>
      <c r="G808" s="138"/>
      <c r="H808" s="138"/>
      <c r="I808" s="138"/>
      <c r="J808" s="138"/>
      <c r="K808" s="138"/>
      <c r="L808" s="138"/>
      <c r="M808" s="138"/>
      <c r="N808" s="138"/>
      <c r="O808" s="25"/>
    </row>
    <row r="809">
      <c r="A809" s="138"/>
      <c r="B809" s="25"/>
      <c r="C809" s="25"/>
      <c r="D809" s="138"/>
      <c r="E809" s="138"/>
      <c r="F809" s="138"/>
      <c r="G809" s="138"/>
      <c r="H809" s="138"/>
      <c r="I809" s="138"/>
      <c r="J809" s="138"/>
      <c r="K809" s="138"/>
      <c r="L809" s="138"/>
      <c r="M809" s="138"/>
      <c r="N809" s="138"/>
      <c r="O809" s="25"/>
    </row>
    <row r="810">
      <c r="A810" s="138"/>
      <c r="B810" s="25"/>
      <c r="C810" s="25"/>
      <c r="D810" s="138"/>
      <c r="E810" s="138"/>
      <c r="F810" s="138"/>
      <c r="G810" s="138"/>
      <c r="H810" s="138"/>
      <c r="I810" s="138"/>
      <c r="J810" s="138"/>
      <c r="K810" s="138"/>
      <c r="L810" s="138"/>
      <c r="M810" s="138"/>
      <c r="N810" s="138"/>
      <c r="O810" s="25"/>
    </row>
    <row r="811">
      <c r="A811" s="138"/>
      <c r="B811" s="25"/>
      <c r="C811" s="25"/>
      <c r="D811" s="138"/>
      <c r="E811" s="138"/>
      <c r="F811" s="138"/>
      <c r="G811" s="138"/>
      <c r="H811" s="138"/>
      <c r="I811" s="138"/>
      <c r="J811" s="138"/>
      <c r="K811" s="138"/>
      <c r="L811" s="138"/>
      <c r="M811" s="138"/>
      <c r="N811" s="138"/>
      <c r="O811" s="25"/>
    </row>
    <row r="812">
      <c r="A812" s="138"/>
      <c r="B812" s="25"/>
      <c r="C812" s="25"/>
      <c r="D812" s="138"/>
      <c r="E812" s="138"/>
      <c r="F812" s="138"/>
      <c r="G812" s="138"/>
      <c r="H812" s="138"/>
      <c r="I812" s="138"/>
      <c r="J812" s="138"/>
      <c r="K812" s="138"/>
      <c r="L812" s="138"/>
      <c r="M812" s="138"/>
      <c r="N812" s="138"/>
      <c r="O812" s="25"/>
    </row>
    <row r="813">
      <c r="A813" s="138"/>
      <c r="B813" s="25"/>
      <c r="C813" s="25"/>
      <c r="D813" s="138"/>
      <c r="E813" s="138"/>
      <c r="F813" s="138"/>
      <c r="G813" s="138"/>
      <c r="H813" s="138"/>
      <c r="I813" s="138"/>
      <c r="J813" s="138"/>
      <c r="K813" s="138"/>
      <c r="L813" s="138"/>
      <c r="M813" s="138"/>
      <c r="N813" s="138"/>
      <c r="O813" s="25"/>
    </row>
    <row r="814">
      <c r="A814" s="138"/>
      <c r="B814" s="25"/>
      <c r="C814" s="25"/>
      <c r="D814" s="138"/>
      <c r="E814" s="138"/>
      <c r="F814" s="138"/>
      <c r="G814" s="138"/>
      <c r="H814" s="138"/>
      <c r="I814" s="138"/>
      <c r="J814" s="138"/>
      <c r="K814" s="138"/>
      <c r="L814" s="138"/>
      <c r="M814" s="138"/>
      <c r="N814" s="138"/>
      <c r="O814" s="25"/>
    </row>
    <row r="815">
      <c r="A815" s="138"/>
      <c r="B815" s="25"/>
      <c r="C815" s="25"/>
      <c r="D815" s="138"/>
      <c r="E815" s="138"/>
      <c r="F815" s="138"/>
      <c r="G815" s="138"/>
      <c r="H815" s="138"/>
      <c r="I815" s="138"/>
      <c r="J815" s="138"/>
      <c r="K815" s="138"/>
      <c r="L815" s="138"/>
      <c r="M815" s="138"/>
      <c r="N815" s="138"/>
      <c r="O815" s="25"/>
    </row>
    <row r="816">
      <c r="A816" s="138"/>
      <c r="B816" s="25"/>
      <c r="C816" s="25"/>
      <c r="D816" s="138"/>
      <c r="E816" s="138"/>
      <c r="F816" s="138"/>
      <c r="G816" s="138"/>
      <c r="H816" s="138"/>
      <c r="I816" s="138"/>
      <c r="J816" s="138"/>
      <c r="K816" s="138"/>
      <c r="L816" s="138"/>
      <c r="M816" s="138"/>
      <c r="N816" s="138"/>
      <c r="O816" s="25"/>
    </row>
    <row r="817">
      <c r="A817" s="138"/>
      <c r="B817" s="25"/>
      <c r="C817" s="25"/>
      <c r="D817" s="138"/>
      <c r="E817" s="138"/>
      <c r="F817" s="138"/>
      <c r="G817" s="138"/>
      <c r="H817" s="138"/>
      <c r="I817" s="138"/>
      <c r="J817" s="138"/>
      <c r="K817" s="138"/>
      <c r="L817" s="138"/>
      <c r="M817" s="138"/>
      <c r="N817" s="138"/>
      <c r="O817" s="25"/>
    </row>
    <row r="818">
      <c r="A818" s="138"/>
      <c r="B818" s="25"/>
      <c r="C818" s="25"/>
      <c r="D818" s="138"/>
      <c r="E818" s="138"/>
      <c r="F818" s="138"/>
      <c r="G818" s="138"/>
      <c r="H818" s="138"/>
      <c r="I818" s="138"/>
      <c r="J818" s="138"/>
      <c r="K818" s="138"/>
      <c r="L818" s="138"/>
      <c r="M818" s="138"/>
      <c r="N818" s="138"/>
      <c r="O818" s="25"/>
    </row>
    <row r="819">
      <c r="A819" s="138"/>
      <c r="B819" s="25"/>
      <c r="C819" s="25"/>
      <c r="D819" s="138"/>
      <c r="E819" s="138"/>
      <c r="F819" s="138"/>
      <c r="G819" s="138"/>
      <c r="H819" s="138"/>
      <c r="I819" s="138"/>
      <c r="J819" s="138"/>
      <c r="K819" s="138"/>
      <c r="L819" s="138"/>
      <c r="M819" s="138"/>
      <c r="N819" s="138"/>
      <c r="O819" s="25"/>
    </row>
    <row r="820">
      <c r="A820" s="138"/>
      <c r="B820" s="25"/>
      <c r="C820" s="25"/>
      <c r="D820" s="138"/>
      <c r="E820" s="138"/>
      <c r="F820" s="138"/>
      <c r="G820" s="138"/>
      <c r="H820" s="138"/>
      <c r="I820" s="138"/>
      <c r="J820" s="138"/>
      <c r="K820" s="138"/>
      <c r="L820" s="138"/>
      <c r="M820" s="138"/>
      <c r="N820" s="138"/>
      <c r="O820" s="25"/>
    </row>
    <row r="821">
      <c r="A821" s="138"/>
      <c r="B821" s="25"/>
      <c r="C821" s="25"/>
      <c r="D821" s="138"/>
      <c r="E821" s="138"/>
      <c r="F821" s="138"/>
      <c r="G821" s="138"/>
      <c r="H821" s="138"/>
      <c r="I821" s="138"/>
      <c r="J821" s="138"/>
      <c r="K821" s="138"/>
      <c r="L821" s="138"/>
      <c r="M821" s="138"/>
      <c r="N821" s="138"/>
      <c r="O821" s="25"/>
    </row>
    <row r="822">
      <c r="A822" s="138"/>
      <c r="B822" s="25"/>
      <c r="C822" s="25"/>
      <c r="D822" s="138"/>
      <c r="E822" s="138"/>
      <c r="F822" s="138"/>
      <c r="G822" s="138"/>
      <c r="H822" s="138"/>
      <c r="I822" s="138"/>
      <c r="J822" s="138"/>
      <c r="K822" s="138"/>
      <c r="L822" s="138"/>
      <c r="M822" s="138"/>
      <c r="N822" s="138"/>
      <c r="O822" s="25"/>
    </row>
    <row r="823">
      <c r="A823" s="138"/>
      <c r="B823" s="25"/>
      <c r="C823" s="25"/>
      <c r="D823" s="138"/>
      <c r="E823" s="138"/>
      <c r="F823" s="138"/>
      <c r="G823" s="138"/>
      <c r="H823" s="138"/>
      <c r="I823" s="138"/>
      <c r="J823" s="138"/>
      <c r="K823" s="138"/>
      <c r="L823" s="138"/>
      <c r="M823" s="138"/>
      <c r="N823" s="138"/>
      <c r="O823" s="25"/>
    </row>
    <row r="824">
      <c r="A824" s="138"/>
      <c r="B824" s="25"/>
      <c r="C824" s="25"/>
      <c r="D824" s="138"/>
      <c r="E824" s="138"/>
      <c r="F824" s="138"/>
      <c r="G824" s="138"/>
      <c r="H824" s="138"/>
      <c r="I824" s="138"/>
      <c r="J824" s="138"/>
      <c r="K824" s="138"/>
      <c r="L824" s="138"/>
      <c r="M824" s="138"/>
      <c r="N824" s="138"/>
      <c r="O824" s="25"/>
    </row>
    <row r="825">
      <c r="A825" s="138"/>
      <c r="B825" s="25"/>
      <c r="C825" s="25"/>
      <c r="D825" s="138"/>
      <c r="E825" s="138"/>
      <c r="F825" s="138"/>
      <c r="G825" s="138"/>
      <c r="H825" s="138"/>
      <c r="I825" s="138"/>
      <c r="J825" s="138"/>
      <c r="K825" s="138"/>
      <c r="L825" s="138"/>
      <c r="M825" s="138"/>
      <c r="N825" s="138"/>
      <c r="O825" s="25"/>
    </row>
    <row r="826">
      <c r="A826" s="138"/>
      <c r="B826" s="25"/>
      <c r="C826" s="25"/>
      <c r="D826" s="138"/>
      <c r="E826" s="138"/>
      <c r="F826" s="138"/>
      <c r="G826" s="138"/>
      <c r="H826" s="138"/>
      <c r="I826" s="138"/>
      <c r="J826" s="138"/>
      <c r="K826" s="138"/>
      <c r="L826" s="138"/>
      <c r="M826" s="138"/>
      <c r="N826" s="138"/>
      <c r="O826" s="25"/>
    </row>
    <row r="827">
      <c r="A827" s="138"/>
      <c r="B827" s="25"/>
      <c r="C827" s="25"/>
      <c r="D827" s="138"/>
      <c r="E827" s="138"/>
      <c r="F827" s="138"/>
      <c r="G827" s="138"/>
      <c r="H827" s="138"/>
      <c r="I827" s="138"/>
      <c r="J827" s="138"/>
      <c r="K827" s="138"/>
      <c r="L827" s="138"/>
      <c r="M827" s="138"/>
      <c r="N827" s="138"/>
      <c r="O827" s="25"/>
    </row>
    <row r="828">
      <c r="A828" s="138"/>
      <c r="B828" s="25"/>
      <c r="C828" s="25"/>
      <c r="D828" s="138"/>
      <c r="E828" s="138"/>
      <c r="F828" s="138"/>
      <c r="G828" s="138"/>
      <c r="H828" s="138"/>
      <c r="I828" s="138"/>
      <c r="J828" s="138"/>
      <c r="K828" s="138"/>
      <c r="L828" s="138"/>
      <c r="M828" s="138"/>
      <c r="N828" s="138"/>
      <c r="O828" s="25"/>
    </row>
    <row r="829">
      <c r="A829" s="138"/>
      <c r="B829" s="25"/>
      <c r="C829" s="25"/>
      <c r="D829" s="138"/>
      <c r="E829" s="138"/>
      <c r="F829" s="138"/>
      <c r="G829" s="138"/>
      <c r="H829" s="138"/>
      <c r="I829" s="138"/>
      <c r="J829" s="138"/>
      <c r="K829" s="138"/>
      <c r="L829" s="138"/>
      <c r="M829" s="138"/>
      <c r="N829" s="138"/>
      <c r="O829" s="25"/>
    </row>
    <row r="830">
      <c r="A830" s="138"/>
      <c r="B830" s="25"/>
      <c r="C830" s="25"/>
      <c r="D830" s="138"/>
      <c r="E830" s="138"/>
      <c r="F830" s="138"/>
      <c r="G830" s="138"/>
      <c r="H830" s="138"/>
      <c r="I830" s="138"/>
      <c r="J830" s="138"/>
      <c r="K830" s="138"/>
      <c r="L830" s="138"/>
      <c r="M830" s="138"/>
      <c r="N830" s="138"/>
      <c r="O830" s="25"/>
    </row>
    <row r="831">
      <c r="A831" s="138"/>
      <c r="B831" s="25"/>
      <c r="C831" s="25"/>
      <c r="D831" s="138"/>
      <c r="E831" s="138"/>
      <c r="F831" s="138"/>
      <c r="G831" s="138"/>
      <c r="H831" s="138"/>
      <c r="I831" s="138"/>
      <c r="J831" s="138"/>
      <c r="K831" s="138"/>
      <c r="L831" s="138"/>
      <c r="M831" s="138"/>
      <c r="N831" s="138"/>
      <c r="O831" s="25"/>
    </row>
    <row r="832">
      <c r="A832" s="138"/>
      <c r="B832" s="25"/>
      <c r="C832" s="25"/>
      <c r="D832" s="138"/>
      <c r="E832" s="138"/>
      <c r="F832" s="138"/>
      <c r="G832" s="138"/>
      <c r="H832" s="138"/>
      <c r="I832" s="138"/>
      <c r="J832" s="138"/>
      <c r="K832" s="138"/>
      <c r="L832" s="138"/>
      <c r="M832" s="138"/>
      <c r="N832" s="138"/>
      <c r="O832" s="25"/>
    </row>
    <row r="833">
      <c r="A833" s="138"/>
      <c r="B833" s="25"/>
      <c r="C833" s="25"/>
      <c r="D833" s="138"/>
      <c r="E833" s="138"/>
      <c r="F833" s="138"/>
      <c r="G833" s="138"/>
      <c r="H833" s="138"/>
      <c r="I833" s="138"/>
      <c r="J833" s="138"/>
      <c r="K833" s="138"/>
      <c r="L833" s="138"/>
      <c r="M833" s="138"/>
      <c r="N833" s="138"/>
      <c r="O833" s="25"/>
    </row>
    <row r="834">
      <c r="A834" s="138"/>
      <c r="B834" s="25"/>
      <c r="C834" s="25"/>
      <c r="D834" s="138"/>
      <c r="E834" s="138"/>
      <c r="F834" s="138"/>
      <c r="G834" s="138"/>
      <c r="H834" s="138"/>
      <c r="I834" s="138"/>
      <c r="J834" s="138"/>
      <c r="K834" s="138"/>
      <c r="L834" s="138"/>
      <c r="M834" s="138"/>
      <c r="N834" s="138"/>
      <c r="O834" s="25"/>
    </row>
    <row r="835">
      <c r="A835" s="138"/>
      <c r="B835" s="25"/>
      <c r="C835" s="25"/>
      <c r="D835" s="138"/>
      <c r="E835" s="138"/>
      <c r="F835" s="138"/>
      <c r="G835" s="138"/>
      <c r="H835" s="138"/>
      <c r="I835" s="138"/>
      <c r="J835" s="138"/>
      <c r="K835" s="138"/>
      <c r="L835" s="138"/>
      <c r="M835" s="138"/>
      <c r="N835" s="138"/>
      <c r="O835" s="25"/>
    </row>
    <row r="836">
      <c r="A836" s="138"/>
      <c r="B836" s="25"/>
      <c r="C836" s="25"/>
      <c r="D836" s="138"/>
      <c r="E836" s="138"/>
      <c r="F836" s="138"/>
      <c r="G836" s="138"/>
      <c r="H836" s="138"/>
      <c r="I836" s="138"/>
      <c r="J836" s="138"/>
      <c r="K836" s="138"/>
      <c r="L836" s="138"/>
      <c r="M836" s="138"/>
      <c r="N836" s="138"/>
      <c r="O836" s="25"/>
    </row>
    <row r="837">
      <c r="A837" s="138"/>
      <c r="B837" s="25"/>
      <c r="C837" s="25"/>
      <c r="D837" s="138"/>
      <c r="E837" s="138"/>
      <c r="F837" s="138"/>
      <c r="G837" s="138"/>
      <c r="H837" s="138"/>
      <c r="I837" s="138"/>
      <c r="J837" s="138"/>
      <c r="K837" s="138"/>
      <c r="L837" s="138"/>
      <c r="M837" s="138"/>
      <c r="N837" s="138"/>
      <c r="O837" s="25"/>
    </row>
    <row r="838">
      <c r="A838" s="138"/>
      <c r="B838" s="25"/>
      <c r="C838" s="25"/>
      <c r="D838" s="138"/>
      <c r="E838" s="138"/>
      <c r="F838" s="138"/>
      <c r="G838" s="138"/>
      <c r="H838" s="138"/>
      <c r="I838" s="138"/>
      <c r="J838" s="138"/>
      <c r="K838" s="138"/>
      <c r="L838" s="138"/>
      <c r="M838" s="138"/>
      <c r="N838" s="138"/>
      <c r="O838" s="25"/>
    </row>
    <row r="839">
      <c r="A839" s="138"/>
      <c r="B839" s="25"/>
      <c r="C839" s="25"/>
      <c r="D839" s="138"/>
      <c r="E839" s="138"/>
      <c r="F839" s="138"/>
      <c r="G839" s="138"/>
      <c r="H839" s="138"/>
      <c r="I839" s="138"/>
      <c r="J839" s="138"/>
      <c r="K839" s="138"/>
      <c r="L839" s="138"/>
      <c r="M839" s="138"/>
      <c r="N839" s="138"/>
      <c r="O839" s="25"/>
    </row>
    <row r="840">
      <c r="A840" s="138"/>
      <c r="B840" s="25"/>
      <c r="C840" s="25"/>
      <c r="D840" s="138"/>
      <c r="E840" s="138"/>
      <c r="F840" s="138"/>
      <c r="G840" s="138"/>
      <c r="H840" s="138"/>
      <c r="I840" s="138"/>
      <c r="J840" s="138"/>
      <c r="K840" s="138"/>
      <c r="L840" s="138"/>
      <c r="M840" s="138"/>
      <c r="N840" s="138"/>
      <c r="O840" s="25"/>
    </row>
    <row r="841">
      <c r="A841" s="138"/>
      <c r="B841" s="25"/>
      <c r="C841" s="25"/>
      <c r="D841" s="138"/>
      <c r="E841" s="138"/>
      <c r="F841" s="138"/>
      <c r="G841" s="138"/>
      <c r="H841" s="138"/>
      <c r="I841" s="138"/>
      <c r="J841" s="138"/>
      <c r="K841" s="138"/>
      <c r="L841" s="138"/>
      <c r="M841" s="138"/>
      <c r="N841" s="138"/>
      <c r="O841" s="25"/>
    </row>
    <row r="842">
      <c r="A842" s="138"/>
      <c r="B842" s="25"/>
      <c r="C842" s="25"/>
      <c r="D842" s="138"/>
      <c r="E842" s="138"/>
      <c r="F842" s="138"/>
      <c r="G842" s="138"/>
      <c r="H842" s="138"/>
      <c r="I842" s="138"/>
      <c r="J842" s="138"/>
      <c r="K842" s="138"/>
      <c r="L842" s="138"/>
      <c r="M842" s="138"/>
      <c r="N842" s="138"/>
      <c r="O842" s="25"/>
    </row>
    <row r="843">
      <c r="A843" s="138"/>
      <c r="B843" s="25"/>
      <c r="C843" s="25"/>
      <c r="D843" s="138"/>
      <c r="E843" s="138"/>
      <c r="F843" s="138"/>
      <c r="G843" s="138"/>
      <c r="H843" s="138"/>
      <c r="I843" s="138"/>
      <c r="J843" s="138"/>
      <c r="K843" s="138"/>
      <c r="L843" s="138"/>
      <c r="M843" s="138"/>
      <c r="N843" s="138"/>
      <c r="O843" s="25"/>
    </row>
    <row r="844">
      <c r="A844" s="138"/>
      <c r="B844" s="25"/>
      <c r="C844" s="25"/>
      <c r="D844" s="138"/>
      <c r="E844" s="138"/>
      <c r="F844" s="138"/>
      <c r="G844" s="138"/>
      <c r="H844" s="138"/>
      <c r="I844" s="138"/>
      <c r="J844" s="138"/>
      <c r="K844" s="138"/>
      <c r="L844" s="138"/>
      <c r="M844" s="138"/>
      <c r="N844" s="138"/>
      <c r="O844" s="25"/>
    </row>
    <row r="845">
      <c r="A845" s="138"/>
      <c r="B845" s="25"/>
      <c r="C845" s="25"/>
      <c r="D845" s="138"/>
      <c r="E845" s="138"/>
      <c r="F845" s="138"/>
      <c r="G845" s="138"/>
      <c r="H845" s="138"/>
      <c r="I845" s="138"/>
      <c r="J845" s="138"/>
      <c r="K845" s="138"/>
      <c r="L845" s="138"/>
      <c r="M845" s="138"/>
      <c r="N845" s="138"/>
      <c r="O845" s="25"/>
    </row>
    <row r="846">
      <c r="A846" s="138"/>
      <c r="B846" s="25"/>
      <c r="C846" s="25"/>
      <c r="D846" s="138"/>
      <c r="E846" s="138"/>
      <c r="F846" s="138"/>
      <c r="G846" s="138"/>
      <c r="H846" s="138"/>
      <c r="I846" s="138"/>
      <c r="J846" s="138"/>
      <c r="K846" s="138"/>
      <c r="L846" s="138"/>
      <c r="M846" s="138"/>
      <c r="N846" s="138"/>
      <c r="O846" s="25"/>
    </row>
    <row r="847">
      <c r="A847" s="138"/>
      <c r="B847" s="25"/>
      <c r="C847" s="25"/>
      <c r="D847" s="138"/>
      <c r="E847" s="138"/>
      <c r="F847" s="138"/>
      <c r="G847" s="138"/>
      <c r="H847" s="138"/>
      <c r="I847" s="138"/>
      <c r="J847" s="138"/>
      <c r="K847" s="138"/>
      <c r="L847" s="138"/>
      <c r="M847" s="138"/>
      <c r="N847" s="138"/>
      <c r="O847" s="25"/>
    </row>
    <row r="848">
      <c r="A848" s="138"/>
      <c r="B848" s="25"/>
      <c r="C848" s="25"/>
      <c r="D848" s="138"/>
      <c r="E848" s="138"/>
      <c r="F848" s="138"/>
      <c r="G848" s="138"/>
      <c r="H848" s="138"/>
      <c r="I848" s="138"/>
      <c r="J848" s="138"/>
      <c r="K848" s="138"/>
      <c r="L848" s="138"/>
      <c r="M848" s="138"/>
      <c r="N848" s="138"/>
      <c r="O848" s="25"/>
    </row>
    <row r="849">
      <c r="A849" s="138"/>
      <c r="B849" s="25"/>
      <c r="C849" s="25"/>
      <c r="D849" s="138"/>
      <c r="E849" s="138"/>
      <c r="F849" s="138"/>
      <c r="G849" s="138"/>
      <c r="H849" s="138"/>
      <c r="I849" s="138"/>
      <c r="J849" s="138"/>
      <c r="K849" s="138"/>
      <c r="L849" s="138"/>
      <c r="M849" s="138"/>
      <c r="N849" s="138"/>
      <c r="O849" s="25"/>
    </row>
    <row r="850">
      <c r="A850" s="138"/>
      <c r="B850" s="25"/>
      <c r="C850" s="25"/>
      <c r="D850" s="138"/>
      <c r="E850" s="138"/>
      <c r="F850" s="138"/>
      <c r="G850" s="138"/>
      <c r="H850" s="138"/>
      <c r="I850" s="138"/>
      <c r="J850" s="138"/>
      <c r="K850" s="138"/>
      <c r="L850" s="138"/>
      <c r="M850" s="138"/>
      <c r="N850" s="138"/>
      <c r="O850" s="25"/>
    </row>
    <row r="851">
      <c r="A851" s="138"/>
      <c r="B851" s="25"/>
      <c r="C851" s="25"/>
      <c r="D851" s="138"/>
      <c r="E851" s="138"/>
      <c r="F851" s="138"/>
      <c r="G851" s="138"/>
      <c r="H851" s="138"/>
      <c r="I851" s="138"/>
      <c r="J851" s="138"/>
      <c r="K851" s="138"/>
      <c r="L851" s="138"/>
      <c r="M851" s="138"/>
      <c r="N851" s="138"/>
      <c r="O851" s="25"/>
    </row>
    <row r="852">
      <c r="A852" s="138"/>
      <c r="B852" s="25"/>
      <c r="C852" s="25"/>
      <c r="D852" s="138"/>
      <c r="E852" s="138"/>
      <c r="F852" s="138"/>
      <c r="G852" s="138"/>
      <c r="H852" s="138"/>
      <c r="I852" s="138"/>
      <c r="J852" s="138"/>
      <c r="K852" s="138"/>
      <c r="L852" s="138"/>
      <c r="M852" s="138"/>
      <c r="N852" s="138"/>
      <c r="O852" s="25"/>
    </row>
    <row r="853">
      <c r="A853" s="138"/>
      <c r="B853" s="25"/>
      <c r="C853" s="25"/>
      <c r="D853" s="138"/>
      <c r="E853" s="138"/>
      <c r="F853" s="138"/>
      <c r="G853" s="138"/>
      <c r="H853" s="138"/>
      <c r="I853" s="138"/>
      <c r="J853" s="138"/>
      <c r="K853" s="138"/>
      <c r="L853" s="138"/>
      <c r="M853" s="138"/>
      <c r="N853" s="138"/>
      <c r="O853" s="25"/>
    </row>
    <row r="854">
      <c r="A854" s="138"/>
      <c r="B854" s="25"/>
      <c r="C854" s="25"/>
      <c r="D854" s="138"/>
      <c r="E854" s="138"/>
      <c r="F854" s="138"/>
      <c r="G854" s="138"/>
      <c r="H854" s="138"/>
      <c r="I854" s="138"/>
      <c r="J854" s="138"/>
      <c r="K854" s="138"/>
      <c r="L854" s="138"/>
      <c r="M854" s="138"/>
      <c r="N854" s="138"/>
      <c r="O854" s="25"/>
    </row>
    <row r="855">
      <c r="A855" s="138"/>
      <c r="B855" s="25"/>
      <c r="C855" s="25"/>
      <c r="D855" s="138"/>
      <c r="E855" s="138"/>
      <c r="F855" s="138"/>
      <c r="G855" s="138"/>
      <c r="H855" s="138"/>
      <c r="I855" s="138"/>
      <c r="J855" s="138"/>
      <c r="K855" s="138"/>
      <c r="L855" s="138"/>
      <c r="M855" s="138"/>
      <c r="N855" s="138"/>
      <c r="O855" s="25"/>
    </row>
    <row r="856">
      <c r="A856" s="138"/>
      <c r="B856" s="25"/>
      <c r="C856" s="25"/>
      <c r="D856" s="138"/>
      <c r="E856" s="138"/>
      <c r="F856" s="138"/>
      <c r="G856" s="138"/>
      <c r="H856" s="138"/>
      <c r="I856" s="138"/>
      <c r="J856" s="138"/>
      <c r="K856" s="138"/>
      <c r="L856" s="138"/>
      <c r="M856" s="138"/>
      <c r="N856" s="138"/>
      <c r="O856" s="25"/>
    </row>
    <row r="857">
      <c r="A857" s="138"/>
      <c r="B857" s="25"/>
      <c r="C857" s="25"/>
      <c r="D857" s="138"/>
      <c r="E857" s="138"/>
      <c r="F857" s="138"/>
      <c r="G857" s="138"/>
      <c r="H857" s="138"/>
      <c r="I857" s="138"/>
      <c r="J857" s="138"/>
      <c r="K857" s="138"/>
      <c r="L857" s="138"/>
      <c r="M857" s="138"/>
      <c r="N857" s="138"/>
      <c r="O857" s="25"/>
    </row>
    <row r="858">
      <c r="A858" s="138"/>
      <c r="B858" s="25"/>
      <c r="C858" s="25"/>
      <c r="D858" s="138"/>
      <c r="E858" s="138"/>
      <c r="F858" s="138"/>
      <c r="G858" s="138"/>
      <c r="H858" s="138"/>
      <c r="I858" s="138"/>
      <c r="J858" s="138"/>
      <c r="K858" s="138"/>
      <c r="L858" s="138"/>
      <c r="M858" s="138"/>
      <c r="N858" s="138"/>
      <c r="O858" s="25"/>
    </row>
    <row r="859">
      <c r="A859" s="138"/>
      <c r="B859" s="25"/>
      <c r="C859" s="25"/>
      <c r="D859" s="138"/>
      <c r="E859" s="138"/>
      <c r="F859" s="138"/>
      <c r="G859" s="138"/>
      <c r="H859" s="138"/>
      <c r="I859" s="138"/>
      <c r="J859" s="138"/>
      <c r="K859" s="138"/>
      <c r="L859" s="138"/>
      <c r="M859" s="138"/>
      <c r="N859" s="138"/>
      <c r="O859" s="25"/>
    </row>
    <row r="860">
      <c r="A860" s="138"/>
      <c r="B860" s="25"/>
      <c r="C860" s="25"/>
      <c r="D860" s="138"/>
      <c r="E860" s="138"/>
      <c r="F860" s="138"/>
      <c r="G860" s="138"/>
      <c r="H860" s="138"/>
      <c r="I860" s="138"/>
      <c r="J860" s="138"/>
      <c r="K860" s="138"/>
      <c r="L860" s="138"/>
      <c r="M860" s="138"/>
      <c r="N860" s="138"/>
      <c r="O860" s="25"/>
    </row>
    <row r="861">
      <c r="A861" s="138"/>
      <c r="B861" s="25"/>
      <c r="C861" s="25"/>
      <c r="D861" s="138"/>
      <c r="E861" s="138"/>
      <c r="F861" s="138"/>
      <c r="G861" s="138"/>
      <c r="H861" s="138"/>
      <c r="I861" s="138"/>
      <c r="J861" s="138"/>
      <c r="K861" s="138"/>
      <c r="L861" s="138"/>
      <c r="M861" s="138"/>
      <c r="N861" s="138"/>
      <c r="O861" s="25"/>
    </row>
    <row r="862">
      <c r="A862" s="138"/>
      <c r="B862" s="25"/>
      <c r="C862" s="25"/>
      <c r="D862" s="138"/>
      <c r="E862" s="138"/>
      <c r="F862" s="138"/>
      <c r="G862" s="138"/>
      <c r="H862" s="138"/>
      <c r="I862" s="138"/>
      <c r="J862" s="138"/>
      <c r="K862" s="138"/>
      <c r="L862" s="138"/>
      <c r="M862" s="138"/>
      <c r="N862" s="138"/>
      <c r="O862" s="25"/>
    </row>
    <row r="863">
      <c r="A863" s="138"/>
      <c r="B863" s="25"/>
      <c r="C863" s="25"/>
      <c r="D863" s="138"/>
      <c r="E863" s="138"/>
      <c r="F863" s="138"/>
      <c r="G863" s="138"/>
      <c r="H863" s="138"/>
      <c r="I863" s="138"/>
      <c r="J863" s="138"/>
      <c r="K863" s="138"/>
      <c r="L863" s="138"/>
      <c r="M863" s="138"/>
      <c r="N863" s="138"/>
      <c r="O863" s="25"/>
    </row>
    <row r="864">
      <c r="A864" s="138"/>
      <c r="B864" s="25"/>
      <c r="C864" s="25"/>
      <c r="D864" s="138"/>
      <c r="E864" s="138"/>
      <c r="F864" s="138"/>
      <c r="G864" s="138"/>
      <c r="H864" s="138"/>
      <c r="I864" s="138"/>
      <c r="J864" s="138"/>
      <c r="K864" s="138"/>
      <c r="L864" s="138"/>
      <c r="M864" s="138"/>
      <c r="N864" s="138"/>
      <c r="O864" s="25"/>
    </row>
    <row r="865">
      <c r="A865" s="138"/>
      <c r="B865" s="25"/>
      <c r="C865" s="25"/>
      <c r="D865" s="138"/>
      <c r="E865" s="138"/>
      <c r="F865" s="138"/>
      <c r="G865" s="138"/>
      <c r="H865" s="138"/>
      <c r="I865" s="138"/>
      <c r="J865" s="138"/>
      <c r="K865" s="138"/>
      <c r="L865" s="138"/>
      <c r="M865" s="138"/>
      <c r="N865" s="138"/>
      <c r="O865" s="25"/>
    </row>
    <row r="866">
      <c r="A866" s="138"/>
      <c r="B866" s="25"/>
      <c r="C866" s="25"/>
      <c r="D866" s="138"/>
      <c r="E866" s="138"/>
      <c r="F866" s="138"/>
      <c r="G866" s="138"/>
      <c r="H866" s="138"/>
      <c r="I866" s="138"/>
      <c r="J866" s="138"/>
      <c r="K866" s="138"/>
      <c r="L866" s="138"/>
      <c r="M866" s="138"/>
      <c r="N866" s="138"/>
      <c r="O866" s="25"/>
    </row>
    <row r="867">
      <c r="A867" s="138"/>
      <c r="B867" s="25"/>
      <c r="C867" s="25"/>
      <c r="D867" s="138"/>
      <c r="E867" s="138"/>
      <c r="F867" s="138"/>
      <c r="G867" s="138"/>
      <c r="H867" s="138"/>
      <c r="I867" s="138"/>
      <c r="J867" s="138"/>
      <c r="K867" s="138"/>
      <c r="L867" s="138"/>
      <c r="M867" s="138"/>
      <c r="N867" s="138"/>
      <c r="O867" s="25"/>
    </row>
    <row r="868">
      <c r="A868" s="138"/>
      <c r="B868" s="25"/>
      <c r="C868" s="25"/>
      <c r="D868" s="138"/>
      <c r="E868" s="138"/>
      <c r="F868" s="138"/>
      <c r="G868" s="138"/>
      <c r="H868" s="138"/>
      <c r="I868" s="138"/>
      <c r="J868" s="138"/>
      <c r="K868" s="138"/>
      <c r="L868" s="138"/>
      <c r="M868" s="138"/>
      <c r="N868" s="138"/>
      <c r="O868" s="25"/>
    </row>
    <row r="869">
      <c r="A869" s="138"/>
      <c r="B869" s="25"/>
      <c r="C869" s="25"/>
      <c r="D869" s="138"/>
      <c r="E869" s="138"/>
      <c r="F869" s="138"/>
      <c r="G869" s="138"/>
      <c r="H869" s="138"/>
      <c r="I869" s="138"/>
      <c r="J869" s="138"/>
      <c r="K869" s="138"/>
      <c r="L869" s="138"/>
      <c r="M869" s="138"/>
      <c r="N869" s="138"/>
      <c r="O869" s="25"/>
    </row>
    <row r="870">
      <c r="A870" s="138"/>
      <c r="B870" s="25"/>
      <c r="C870" s="25"/>
      <c r="D870" s="138"/>
      <c r="E870" s="138"/>
      <c r="F870" s="138"/>
      <c r="G870" s="138"/>
      <c r="H870" s="138"/>
      <c r="I870" s="138"/>
      <c r="J870" s="138"/>
      <c r="K870" s="138"/>
      <c r="L870" s="138"/>
      <c r="M870" s="138"/>
      <c r="N870" s="138"/>
      <c r="O870" s="25"/>
    </row>
    <row r="871">
      <c r="A871" s="138"/>
      <c r="B871" s="25"/>
      <c r="C871" s="25"/>
      <c r="D871" s="138"/>
      <c r="E871" s="138"/>
      <c r="F871" s="138"/>
      <c r="G871" s="138"/>
      <c r="H871" s="138"/>
      <c r="I871" s="138"/>
      <c r="J871" s="138"/>
      <c r="K871" s="138"/>
      <c r="L871" s="138"/>
      <c r="M871" s="138"/>
      <c r="N871" s="138"/>
      <c r="O871" s="25"/>
    </row>
    <row r="872">
      <c r="A872" s="138"/>
      <c r="B872" s="25"/>
      <c r="C872" s="25"/>
      <c r="D872" s="138"/>
      <c r="E872" s="138"/>
      <c r="F872" s="138"/>
      <c r="G872" s="138"/>
      <c r="H872" s="138"/>
      <c r="I872" s="138"/>
      <c r="J872" s="138"/>
      <c r="K872" s="138"/>
      <c r="L872" s="138"/>
      <c r="M872" s="138"/>
      <c r="N872" s="138"/>
      <c r="O872" s="25"/>
    </row>
    <row r="873">
      <c r="A873" s="138"/>
      <c r="B873" s="25"/>
      <c r="C873" s="25"/>
      <c r="D873" s="138"/>
      <c r="E873" s="138"/>
      <c r="F873" s="138"/>
      <c r="G873" s="138"/>
      <c r="H873" s="138"/>
      <c r="I873" s="138"/>
      <c r="J873" s="138"/>
      <c r="K873" s="138"/>
      <c r="L873" s="138"/>
      <c r="M873" s="138"/>
      <c r="N873" s="138"/>
      <c r="O873" s="25"/>
    </row>
    <row r="874">
      <c r="A874" s="138"/>
      <c r="B874" s="25"/>
      <c r="C874" s="25"/>
      <c r="D874" s="138"/>
      <c r="E874" s="138"/>
      <c r="F874" s="138"/>
      <c r="G874" s="138"/>
      <c r="H874" s="138"/>
      <c r="I874" s="138"/>
      <c r="J874" s="138"/>
      <c r="K874" s="138"/>
      <c r="L874" s="138"/>
      <c r="M874" s="138"/>
      <c r="N874" s="138"/>
      <c r="O874" s="25"/>
    </row>
    <row r="875">
      <c r="A875" s="138"/>
      <c r="B875" s="25"/>
      <c r="C875" s="25"/>
      <c r="D875" s="138"/>
      <c r="E875" s="138"/>
      <c r="F875" s="138"/>
      <c r="G875" s="138"/>
      <c r="H875" s="138"/>
      <c r="I875" s="138"/>
      <c r="J875" s="138"/>
      <c r="K875" s="138"/>
      <c r="L875" s="138"/>
      <c r="M875" s="138"/>
      <c r="N875" s="138"/>
      <c r="O875" s="25"/>
    </row>
    <row r="876">
      <c r="A876" s="138"/>
      <c r="B876" s="25"/>
      <c r="C876" s="25"/>
      <c r="D876" s="138"/>
      <c r="E876" s="138"/>
      <c r="F876" s="138"/>
      <c r="G876" s="138"/>
      <c r="H876" s="138"/>
      <c r="I876" s="138"/>
      <c r="J876" s="138"/>
      <c r="K876" s="138"/>
      <c r="L876" s="138"/>
      <c r="M876" s="138"/>
      <c r="N876" s="138"/>
      <c r="O876" s="25"/>
    </row>
    <row r="877">
      <c r="A877" s="138"/>
      <c r="B877" s="25"/>
      <c r="C877" s="25"/>
      <c r="D877" s="138"/>
      <c r="E877" s="138"/>
      <c r="F877" s="138"/>
      <c r="G877" s="138"/>
      <c r="H877" s="138"/>
      <c r="I877" s="138"/>
      <c r="J877" s="138"/>
      <c r="K877" s="138"/>
      <c r="L877" s="138"/>
      <c r="M877" s="138"/>
      <c r="N877" s="138"/>
      <c r="O877" s="25"/>
    </row>
    <row r="878">
      <c r="A878" s="138"/>
      <c r="B878" s="25"/>
      <c r="C878" s="25"/>
      <c r="D878" s="138"/>
      <c r="E878" s="138"/>
      <c r="F878" s="138"/>
      <c r="G878" s="138"/>
      <c r="H878" s="138"/>
      <c r="I878" s="138"/>
      <c r="J878" s="138"/>
      <c r="K878" s="138"/>
      <c r="L878" s="138"/>
      <c r="M878" s="138"/>
      <c r="N878" s="138"/>
      <c r="O878" s="25"/>
    </row>
    <row r="879">
      <c r="A879" s="138"/>
      <c r="B879" s="25"/>
      <c r="C879" s="25"/>
      <c r="D879" s="138"/>
      <c r="E879" s="138"/>
      <c r="F879" s="138"/>
      <c r="G879" s="138"/>
      <c r="H879" s="138"/>
      <c r="I879" s="138"/>
      <c r="J879" s="138"/>
      <c r="K879" s="138"/>
      <c r="L879" s="138"/>
      <c r="M879" s="138"/>
      <c r="N879" s="138"/>
      <c r="O879" s="25"/>
    </row>
    <row r="880">
      <c r="A880" s="138"/>
      <c r="B880" s="25"/>
      <c r="C880" s="25"/>
      <c r="D880" s="138"/>
      <c r="E880" s="138"/>
      <c r="F880" s="138"/>
      <c r="G880" s="138"/>
      <c r="H880" s="138"/>
      <c r="I880" s="138"/>
      <c r="J880" s="138"/>
      <c r="K880" s="138"/>
      <c r="L880" s="138"/>
      <c r="M880" s="138"/>
      <c r="N880" s="138"/>
      <c r="O880" s="25"/>
    </row>
    <row r="881">
      <c r="A881" s="138"/>
      <c r="B881" s="25"/>
      <c r="C881" s="25"/>
      <c r="D881" s="138"/>
      <c r="E881" s="138"/>
      <c r="F881" s="138"/>
      <c r="G881" s="138"/>
      <c r="H881" s="138"/>
      <c r="I881" s="138"/>
      <c r="J881" s="138"/>
      <c r="K881" s="138"/>
      <c r="L881" s="138"/>
      <c r="M881" s="138"/>
      <c r="N881" s="138"/>
      <c r="O881" s="25"/>
    </row>
    <row r="882">
      <c r="A882" s="138"/>
      <c r="B882" s="25"/>
      <c r="C882" s="25"/>
      <c r="D882" s="138"/>
      <c r="E882" s="138"/>
      <c r="F882" s="138"/>
      <c r="G882" s="138"/>
      <c r="H882" s="138"/>
      <c r="I882" s="138"/>
      <c r="J882" s="138"/>
      <c r="K882" s="138"/>
      <c r="L882" s="138"/>
      <c r="M882" s="138"/>
      <c r="N882" s="138"/>
      <c r="O882" s="25"/>
    </row>
    <row r="883">
      <c r="A883" s="138"/>
      <c r="B883" s="25"/>
      <c r="C883" s="25"/>
      <c r="D883" s="138"/>
      <c r="E883" s="138"/>
      <c r="F883" s="138"/>
      <c r="G883" s="138"/>
      <c r="H883" s="138"/>
      <c r="I883" s="138"/>
      <c r="J883" s="138"/>
      <c r="K883" s="138"/>
      <c r="L883" s="138"/>
      <c r="M883" s="138"/>
      <c r="N883" s="138"/>
      <c r="O883" s="25"/>
    </row>
    <row r="884">
      <c r="A884" s="138"/>
      <c r="B884" s="25"/>
      <c r="C884" s="25"/>
      <c r="D884" s="138"/>
      <c r="E884" s="138"/>
      <c r="F884" s="138"/>
      <c r="G884" s="138"/>
      <c r="H884" s="138"/>
      <c r="I884" s="138"/>
      <c r="J884" s="138"/>
      <c r="K884" s="138"/>
      <c r="L884" s="138"/>
      <c r="M884" s="138"/>
      <c r="N884" s="138"/>
      <c r="O884" s="25"/>
    </row>
    <row r="885">
      <c r="A885" s="138"/>
      <c r="B885" s="25"/>
      <c r="C885" s="25"/>
      <c r="D885" s="138"/>
      <c r="E885" s="138"/>
      <c r="F885" s="138"/>
      <c r="G885" s="138"/>
      <c r="H885" s="138"/>
      <c r="I885" s="138"/>
      <c r="J885" s="138"/>
      <c r="K885" s="138"/>
      <c r="L885" s="138"/>
      <c r="M885" s="138"/>
      <c r="N885" s="138"/>
      <c r="O885" s="25"/>
    </row>
    <row r="886">
      <c r="A886" s="138"/>
      <c r="B886" s="25"/>
      <c r="C886" s="25"/>
      <c r="D886" s="138"/>
      <c r="E886" s="138"/>
      <c r="F886" s="138"/>
      <c r="G886" s="138"/>
      <c r="H886" s="138"/>
      <c r="I886" s="138"/>
      <c r="J886" s="138"/>
      <c r="K886" s="138"/>
      <c r="L886" s="138"/>
      <c r="M886" s="138"/>
      <c r="N886" s="138"/>
      <c r="O886" s="25"/>
    </row>
    <row r="887">
      <c r="A887" s="138"/>
      <c r="B887" s="25"/>
      <c r="C887" s="25"/>
      <c r="D887" s="138"/>
      <c r="E887" s="138"/>
      <c r="F887" s="138"/>
      <c r="G887" s="138"/>
      <c r="H887" s="138"/>
      <c r="I887" s="138"/>
      <c r="J887" s="138"/>
      <c r="K887" s="138"/>
      <c r="L887" s="138"/>
      <c r="M887" s="138"/>
      <c r="N887" s="138"/>
      <c r="O887" s="25"/>
    </row>
    <row r="888">
      <c r="A888" s="138"/>
      <c r="B888" s="25"/>
      <c r="C888" s="25"/>
      <c r="D888" s="138"/>
      <c r="E888" s="138"/>
      <c r="F888" s="138"/>
      <c r="G888" s="138"/>
      <c r="H888" s="138"/>
      <c r="I888" s="138"/>
      <c r="J888" s="138"/>
      <c r="K888" s="138"/>
      <c r="L888" s="138"/>
      <c r="M888" s="138"/>
      <c r="N888" s="138"/>
      <c r="O888" s="25"/>
    </row>
    <row r="889">
      <c r="A889" s="138"/>
      <c r="B889" s="25"/>
      <c r="C889" s="25"/>
      <c r="D889" s="138"/>
      <c r="E889" s="138"/>
      <c r="F889" s="138"/>
      <c r="G889" s="138"/>
      <c r="H889" s="138"/>
      <c r="I889" s="138"/>
      <c r="J889" s="138"/>
      <c r="K889" s="138"/>
      <c r="L889" s="138"/>
      <c r="M889" s="138"/>
      <c r="N889" s="138"/>
      <c r="O889" s="25"/>
    </row>
    <row r="890">
      <c r="A890" s="138"/>
      <c r="B890" s="25"/>
      <c r="C890" s="25"/>
      <c r="D890" s="138"/>
      <c r="E890" s="138"/>
      <c r="F890" s="138"/>
      <c r="G890" s="138"/>
      <c r="H890" s="138"/>
      <c r="I890" s="138"/>
      <c r="J890" s="138"/>
      <c r="K890" s="138"/>
      <c r="L890" s="138"/>
      <c r="M890" s="138"/>
      <c r="N890" s="138"/>
      <c r="O890" s="25"/>
    </row>
    <row r="891">
      <c r="A891" s="138"/>
      <c r="B891" s="25"/>
      <c r="C891" s="25"/>
      <c r="D891" s="138"/>
      <c r="E891" s="138"/>
      <c r="F891" s="138"/>
      <c r="G891" s="138"/>
      <c r="H891" s="138"/>
      <c r="I891" s="138"/>
      <c r="J891" s="138"/>
      <c r="K891" s="138"/>
      <c r="L891" s="138"/>
      <c r="M891" s="138"/>
      <c r="N891" s="138"/>
      <c r="O891" s="25"/>
    </row>
    <row r="892">
      <c r="A892" s="138"/>
      <c r="B892" s="25"/>
      <c r="C892" s="25"/>
      <c r="D892" s="138"/>
      <c r="E892" s="138"/>
      <c r="F892" s="138"/>
      <c r="G892" s="138"/>
      <c r="H892" s="138"/>
      <c r="I892" s="138"/>
      <c r="J892" s="138"/>
      <c r="K892" s="138"/>
      <c r="L892" s="138"/>
      <c r="M892" s="138"/>
      <c r="N892" s="138"/>
      <c r="O892" s="25"/>
    </row>
    <row r="893">
      <c r="A893" s="138"/>
      <c r="B893" s="25"/>
      <c r="C893" s="25"/>
      <c r="D893" s="138"/>
      <c r="E893" s="138"/>
      <c r="F893" s="138"/>
      <c r="G893" s="138"/>
      <c r="H893" s="138"/>
      <c r="I893" s="138"/>
      <c r="J893" s="138"/>
      <c r="K893" s="138"/>
      <c r="L893" s="138"/>
      <c r="M893" s="138"/>
      <c r="N893" s="138"/>
      <c r="O893" s="25"/>
    </row>
    <row r="894">
      <c r="A894" s="138"/>
      <c r="B894" s="25"/>
      <c r="C894" s="25"/>
      <c r="D894" s="138"/>
      <c r="E894" s="138"/>
      <c r="F894" s="138"/>
      <c r="G894" s="138"/>
      <c r="H894" s="138"/>
      <c r="I894" s="138"/>
      <c r="J894" s="138"/>
      <c r="K894" s="138"/>
      <c r="L894" s="138"/>
      <c r="M894" s="138"/>
      <c r="N894" s="138"/>
      <c r="O894" s="25"/>
    </row>
    <row r="895">
      <c r="A895" s="138"/>
      <c r="B895" s="25"/>
      <c r="C895" s="25"/>
      <c r="D895" s="138"/>
      <c r="E895" s="138"/>
      <c r="F895" s="138"/>
      <c r="G895" s="138"/>
      <c r="H895" s="138"/>
      <c r="I895" s="138"/>
      <c r="J895" s="138"/>
      <c r="K895" s="138"/>
      <c r="L895" s="138"/>
      <c r="M895" s="138"/>
      <c r="N895" s="138"/>
      <c r="O895" s="25"/>
    </row>
    <row r="896">
      <c r="A896" s="138"/>
      <c r="B896" s="25"/>
      <c r="C896" s="25"/>
      <c r="D896" s="138"/>
      <c r="E896" s="138"/>
      <c r="F896" s="138"/>
      <c r="G896" s="138"/>
      <c r="H896" s="138"/>
      <c r="I896" s="138"/>
      <c r="J896" s="138"/>
      <c r="K896" s="138"/>
      <c r="L896" s="138"/>
      <c r="M896" s="138"/>
      <c r="N896" s="138"/>
      <c r="O896" s="25"/>
    </row>
    <row r="897">
      <c r="A897" s="138"/>
      <c r="B897" s="25"/>
      <c r="C897" s="25"/>
      <c r="D897" s="138"/>
      <c r="E897" s="138"/>
      <c r="F897" s="138"/>
      <c r="G897" s="138"/>
      <c r="H897" s="138"/>
      <c r="I897" s="138"/>
      <c r="J897" s="138"/>
      <c r="K897" s="138"/>
      <c r="L897" s="138"/>
      <c r="M897" s="138"/>
      <c r="N897" s="138"/>
      <c r="O897" s="25"/>
    </row>
    <row r="898">
      <c r="A898" s="138"/>
      <c r="B898" s="25"/>
      <c r="C898" s="25"/>
      <c r="D898" s="138"/>
      <c r="E898" s="138"/>
      <c r="F898" s="138"/>
      <c r="G898" s="138"/>
      <c r="H898" s="138"/>
      <c r="I898" s="138"/>
      <c r="J898" s="138"/>
      <c r="K898" s="138"/>
      <c r="L898" s="138"/>
      <c r="M898" s="138"/>
      <c r="N898" s="138"/>
      <c r="O898" s="25"/>
    </row>
    <row r="899">
      <c r="A899" s="138"/>
      <c r="B899" s="25"/>
      <c r="C899" s="25"/>
      <c r="D899" s="138"/>
      <c r="E899" s="138"/>
      <c r="F899" s="138"/>
      <c r="G899" s="138"/>
      <c r="H899" s="138"/>
      <c r="I899" s="138"/>
      <c r="J899" s="138"/>
      <c r="K899" s="138"/>
      <c r="L899" s="138"/>
      <c r="M899" s="138"/>
      <c r="N899" s="138"/>
      <c r="O899" s="25"/>
    </row>
    <row r="900">
      <c r="A900" s="138"/>
      <c r="B900" s="25"/>
      <c r="C900" s="25"/>
      <c r="D900" s="138"/>
      <c r="E900" s="138"/>
      <c r="F900" s="138"/>
      <c r="G900" s="138"/>
      <c r="H900" s="138"/>
      <c r="I900" s="138"/>
      <c r="J900" s="138"/>
      <c r="K900" s="138"/>
      <c r="L900" s="138"/>
      <c r="M900" s="138"/>
      <c r="N900" s="138"/>
      <c r="O900" s="25"/>
    </row>
    <row r="901">
      <c r="A901" s="138"/>
      <c r="B901" s="25"/>
      <c r="C901" s="25"/>
      <c r="D901" s="138"/>
      <c r="E901" s="138"/>
      <c r="F901" s="138"/>
      <c r="G901" s="138"/>
      <c r="H901" s="138"/>
      <c r="I901" s="138"/>
      <c r="J901" s="138"/>
      <c r="K901" s="138"/>
      <c r="L901" s="138"/>
      <c r="M901" s="138"/>
      <c r="N901" s="138"/>
      <c r="O901" s="25"/>
    </row>
    <row r="902">
      <c r="A902" s="138"/>
      <c r="B902" s="25"/>
      <c r="C902" s="25"/>
      <c r="D902" s="138"/>
      <c r="E902" s="138"/>
      <c r="F902" s="138"/>
      <c r="G902" s="138"/>
      <c r="H902" s="138"/>
      <c r="I902" s="138"/>
      <c r="J902" s="138"/>
      <c r="K902" s="138"/>
      <c r="L902" s="138"/>
      <c r="M902" s="138"/>
      <c r="N902" s="138"/>
      <c r="O902" s="25"/>
    </row>
    <row r="903">
      <c r="A903" s="138"/>
      <c r="B903" s="25"/>
      <c r="C903" s="25"/>
      <c r="D903" s="138"/>
      <c r="E903" s="138"/>
      <c r="F903" s="138"/>
      <c r="G903" s="138"/>
      <c r="H903" s="138"/>
      <c r="I903" s="138"/>
      <c r="J903" s="138"/>
      <c r="K903" s="138"/>
      <c r="L903" s="138"/>
      <c r="M903" s="138"/>
      <c r="N903" s="138"/>
      <c r="O903" s="25"/>
    </row>
    <row r="904">
      <c r="A904" s="138"/>
      <c r="B904" s="25"/>
      <c r="C904" s="25"/>
      <c r="D904" s="138"/>
      <c r="E904" s="138"/>
      <c r="F904" s="138"/>
      <c r="G904" s="138"/>
      <c r="H904" s="138"/>
      <c r="I904" s="138"/>
      <c r="J904" s="138"/>
      <c r="K904" s="138"/>
      <c r="L904" s="138"/>
      <c r="M904" s="138"/>
      <c r="N904" s="138"/>
      <c r="O904" s="25"/>
    </row>
    <row r="905">
      <c r="A905" s="138"/>
      <c r="B905" s="25"/>
      <c r="C905" s="25"/>
      <c r="D905" s="138"/>
      <c r="E905" s="138"/>
      <c r="F905" s="138"/>
      <c r="G905" s="138"/>
      <c r="H905" s="138"/>
      <c r="I905" s="138"/>
      <c r="J905" s="138"/>
      <c r="K905" s="138"/>
      <c r="L905" s="138"/>
      <c r="M905" s="138"/>
      <c r="N905" s="138"/>
      <c r="O905" s="25"/>
    </row>
    <row r="906">
      <c r="A906" s="138"/>
      <c r="B906" s="25"/>
      <c r="C906" s="25"/>
      <c r="D906" s="138"/>
      <c r="E906" s="138"/>
      <c r="F906" s="138"/>
      <c r="G906" s="138"/>
      <c r="H906" s="138"/>
      <c r="I906" s="138"/>
      <c r="J906" s="138"/>
      <c r="K906" s="138"/>
      <c r="L906" s="138"/>
      <c r="M906" s="138"/>
      <c r="N906" s="138"/>
      <c r="O906" s="25"/>
    </row>
    <row r="907">
      <c r="A907" s="138"/>
      <c r="B907" s="25"/>
      <c r="C907" s="25"/>
      <c r="D907" s="138"/>
      <c r="E907" s="138"/>
      <c r="F907" s="138"/>
      <c r="G907" s="138"/>
      <c r="H907" s="138"/>
      <c r="I907" s="138"/>
      <c r="J907" s="138"/>
      <c r="K907" s="138"/>
      <c r="L907" s="138"/>
      <c r="M907" s="138"/>
      <c r="N907" s="138"/>
      <c r="O907" s="25"/>
    </row>
    <row r="908">
      <c r="A908" s="138"/>
      <c r="B908" s="25"/>
      <c r="C908" s="25"/>
      <c r="D908" s="138"/>
      <c r="E908" s="138"/>
      <c r="F908" s="138"/>
      <c r="G908" s="138"/>
      <c r="H908" s="138"/>
      <c r="I908" s="138"/>
      <c r="J908" s="138"/>
      <c r="K908" s="138"/>
      <c r="L908" s="138"/>
      <c r="M908" s="138"/>
      <c r="N908" s="138"/>
      <c r="O908" s="25"/>
    </row>
    <row r="909">
      <c r="A909" s="138"/>
      <c r="B909" s="25"/>
      <c r="C909" s="25"/>
      <c r="D909" s="138"/>
      <c r="E909" s="138"/>
      <c r="F909" s="138"/>
      <c r="G909" s="138"/>
      <c r="H909" s="138"/>
      <c r="I909" s="138"/>
      <c r="J909" s="138"/>
      <c r="K909" s="138"/>
      <c r="L909" s="138"/>
      <c r="M909" s="138"/>
      <c r="N909" s="138"/>
      <c r="O909" s="25"/>
    </row>
    <row r="910">
      <c r="A910" s="138"/>
      <c r="B910" s="25"/>
      <c r="C910" s="25"/>
      <c r="D910" s="138"/>
      <c r="E910" s="138"/>
      <c r="F910" s="138"/>
      <c r="G910" s="138"/>
      <c r="H910" s="138"/>
      <c r="I910" s="138"/>
      <c r="J910" s="138"/>
      <c r="K910" s="138"/>
      <c r="L910" s="138"/>
      <c r="M910" s="138"/>
      <c r="N910" s="138"/>
      <c r="O910" s="25"/>
    </row>
    <row r="911">
      <c r="A911" s="138"/>
      <c r="B911" s="25"/>
      <c r="C911" s="25"/>
      <c r="D911" s="138"/>
      <c r="E911" s="138"/>
      <c r="F911" s="138"/>
      <c r="G911" s="138"/>
      <c r="H911" s="138"/>
      <c r="I911" s="138"/>
      <c r="J911" s="138"/>
      <c r="K911" s="138"/>
      <c r="L911" s="138"/>
      <c r="M911" s="138"/>
      <c r="N911" s="138"/>
      <c r="O911" s="25"/>
    </row>
    <row r="912">
      <c r="A912" s="138"/>
      <c r="B912" s="25"/>
      <c r="C912" s="25"/>
      <c r="D912" s="138"/>
      <c r="E912" s="138"/>
      <c r="F912" s="138"/>
      <c r="G912" s="138"/>
      <c r="H912" s="138"/>
      <c r="I912" s="138"/>
      <c r="J912" s="138"/>
      <c r="K912" s="138"/>
      <c r="L912" s="138"/>
      <c r="M912" s="138"/>
      <c r="N912" s="138"/>
      <c r="O912" s="25"/>
    </row>
    <row r="913">
      <c r="A913" s="138"/>
      <c r="B913" s="25"/>
      <c r="C913" s="25"/>
      <c r="D913" s="138"/>
      <c r="E913" s="138"/>
      <c r="F913" s="138"/>
      <c r="G913" s="138"/>
      <c r="H913" s="138"/>
      <c r="I913" s="138"/>
      <c r="J913" s="138"/>
      <c r="K913" s="138"/>
      <c r="L913" s="138"/>
      <c r="M913" s="138"/>
      <c r="N913" s="138"/>
      <c r="O913" s="25"/>
    </row>
    <row r="914">
      <c r="A914" s="138"/>
      <c r="B914" s="25"/>
      <c r="C914" s="25"/>
      <c r="D914" s="138"/>
      <c r="E914" s="138"/>
      <c r="F914" s="138"/>
      <c r="G914" s="138"/>
      <c r="H914" s="138"/>
      <c r="I914" s="138"/>
      <c r="J914" s="138"/>
      <c r="K914" s="138"/>
      <c r="L914" s="138"/>
      <c r="M914" s="138"/>
      <c r="N914" s="138"/>
      <c r="O914" s="25"/>
    </row>
    <row r="915">
      <c r="A915" s="138"/>
      <c r="B915" s="25"/>
      <c r="C915" s="25"/>
      <c r="D915" s="138"/>
      <c r="E915" s="138"/>
      <c r="F915" s="138"/>
      <c r="G915" s="138"/>
      <c r="H915" s="138"/>
      <c r="I915" s="138"/>
      <c r="J915" s="138"/>
      <c r="K915" s="138"/>
      <c r="L915" s="138"/>
      <c r="M915" s="138"/>
      <c r="N915" s="138"/>
      <c r="O915" s="25"/>
    </row>
    <row r="916">
      <c r="A916" s="138"/>
      <c r="B916" s="25"/>
      <c r="C916" s="25"/>
      <c r="D916" s="138"/>
      <c r="E916" s="138"/>
      <c r="F916" s="138"/>
      <c r="G916" s="138"/>
      <c r="H916" s="138"/>
      <c r="I916" s="138"/>
      <c r="J916" s="138"/>
      <c r="K916" s="138"/>
      <c r="L916" s="138"/>
      <c r="M916" s="138"/>
      <c r="N916" s="138"/>
      <c r="O916" s="25"/>
    </row>
    <row r="917">
      <c r="A917" s="138"/>
      <c r="B917" s="25"/>
      <c r="C917" s="25"/>
      <c r="D917" s="138"/>
      <c r="E917" s="138"/>
      <c r="F917" s="138"/>
      <c r="G917" s="138"/>
      <c r="H917" s="138"/>
      <c r="I917" s="138"/>
      <c r="J917" s="138"/>
      <c r="K917" s="138"/>
      <c r="L917" s="138"/>
      <c r="M917" s="138"/>
      <c r="N917" s="138"/>
      <c r="O917" s="25"/>
    </row>
    <row r="918">
      <c r="A918" s="138"/>
      <c r="B918" s="25"/>
      <c r="C918" s="25"/>
      <c r="D918" s="138"/>
      <c r="E918" s="138"/>
      <c r="F918" s="138"/>
      <c r="G918" s="138"/>
      <c r="H918" s="138"/>
      <c r="I918" s="138"/>
      <c r="J918" s="138"/>
      <c r="K918" s="138"/>
      <c r="L918" s="138"/>
      <c r="M918" s="138"/>
      <c r="N918" s="138"/>
      <c r="O918" s="25"/>
    </row>
    <row r="919">
      <c r="A919" s="138"/>
      <c r="B919" s="25"/>
      <c r="C919" s="25"/>
      <c r="D919" s="138"/>
      <c r="E919" s="138"/>
      <c r="F919" s="138"/>
      <c r="G919" s="138"/>
      <c r="H919" s="138"/>
      <c r="I919" s="138"/>
      <c r="J919" s="138"/>
      <c r="K919" s="138"/>
      <c r="L919" s="138"/>
      <c r="M919" s="138"/>
      <c r="N919" s="138"/>
      <c r="O919" s="25"/>
    </row>
    <row r="920">
      <c r="A920" s="138"/>
      <c r="B920" s="25"/>
      <c r="C920" s="25"/>
      <c r="D920" s="138"/>
      <c r="E920" s="138"/>
      <c r="F920" s="138"/>
      <c r="G920" s="138"/>
      <c r="H920" s="138"/>
      <c r="I920" s="138"/>
      <c r="J920" s="138"/>
      <c r="K920" s="138"/>
      <c r="L920" s="138"/>
      <c r="M920" s="138"/>
      <c r="N920" s="138"/>
      <c r="O920" s="25"/>
    </row>
    <row r="921">
      <c r="A921" s="138"/>
      <c r="B921" s="25"/>
      <c r="C921" s="25"/>
      <c r="D921" s="138"/>
      <c r="E921" s="138"/>
      <c r="F921" s="138"/>
      <c r="G921" s="138"/>
      <c r="H921" s="138"/>
      <c r="I921" s="138"/>
      <c r="J921" s="138"/>
      <c r="K921" s="138"/>
      <c r="L921" s="138"/>
      <c r="M921" s="138"/>
      <c r="N921" s="138"/>
      <c r="O921" s="25"/>
    </row>
    <row r="922">
      <c r="A922" s="138"/>
      <c r="B922" s="25"/>
      <c r="C922" s="25"/>
      <c r="D922" s="138"/>
      <c r="E922" s="138"/>
      <c r="F922" s="138"/>
      <c r="G922" s="138"/>
      <c r="H922" s="138"/>
      <c r="I922" s="138"/>
      <c r="J922" s="138"/>
      <c r="K922" s="138"/>
      <c r="L922" s="138"/>
      <c r="M922" s="138"/>
      <c r="N922" s="138"/>
      <c r="O922" s="25"/>
    </row>
    <row r="923">
      <c r="A923" s="138"/>
      <c r="B923" s="25"/>
      <c r="C923" s="25"/>
      <c r="D923" s="138"/>
      <c r="E923" s="138"/>
      <c r="F923" s="138"/>
      <c r="G923" s="138"/>
      <c r="H923" s="138"/>
      <c r="I923" s="138"/>
      <c r="J923" s="138"/>
      <c r="K923" s="138"/>
      <c r="L923" s="138"/>
      <c r="M923" s="138"/>
      <c r="N923" s="138"/>
      <c r="O923" s="25"/>
    </row>
    <row r="924">
      <c r="A924" s="138"/>
      <c r="B924" s="25"/>
      <c r="C924" s="25"/>
      <c r="D924" s="138"/>
      <c r="E924" s="138"/>
      <c r="F924" s="138"/>
      <c r="G924" s="138"/>
      <c r="H924" s="138"/>
      <c r="I924" s="138"/>
      <c r="J924" s="138"/>
      <c r="K924" s="138"/>
      <c r="L924" s="138"/>
      <c r="M924" s="138"/>
      <c r="N924" s="138"/>
      <c r="O924" s="25"/>
    </row>
    <row r="925">
      <c r="A925" s="138"/>
      <c r="B925" s="25"/>
      <c r="C925" s="25"/>
      <c r="D925" s="138"/>
      <c r="E925" s="138"/>
      <c r="F925" s="138"/>
      <c r="G925" s="138"/>
      <c r="H925" s="138"/>
      <c r="I925" s="138"/>
      <c r="J925" s="138"/>
      <c r="K925" s="138"/>
      <c r="L925" s="138"/>
      <c r="M925" s="138"/>
      <c r="N925" s="138"/>
      <c r="O925" s="25"/>
    </row>
    <row r="926">
      <c r="A926" s="138"/>
      <c r="B926" s="25"/>
      <c r="C926" s="25"/>
      <c r="D926" s="138"/>
      <c r="E926" s="138"/>
      <c r="F926" s="138"/>
      <c r="G926" s="138"/>
      <c r="H926" s="138"/>
      <c r="I926" s="138"/>
      <c r="J926" s="138"/>
      <c r="K926" s="138"/>
      <c r="L926" s="138"/>
      <c r="M926" s="138"/>
      <c r="N926" s="138"/>
      <c r="O926" s="25"/>
    </row>
    <row r="927">
      <c r="A927" s="138"/>
      <c r="B927" s="25"/>
      <c r="C927" s="25"/>
      <c r="D927" s="138"/>
      <c r="E927" s="138"/>
      <c r="F927" s="138"/>
      <c r="G927" s="138"/>
      <c r="H927" s="138"/>
      <c r="I927" s="138"/>
      <c r="J927" s="138"/>
      <c r="K927" s="138"/>
      <c r="L927" s="138"/>
      <c r="M927" s="138"/>
      <c r="N927" s="138"/>
      <c r="O927" s="25"/>
    </row>
    <row r="928">
      <c r="A928" s="138"/>
      <c r="B928" s="25"/>
      <c r="C928" s="25"/>
      <c r="D928" s="138"/>
      <c r="E928" s="138"/>
      <c r="F928" s="138"/>
      <c r="G928" s="138"/>
      <c r="H928" s="138"/>
      <c r="I928" s="138"/>
      <c r="J928" s="138"/>
      <c r="K928" s="138"/>
      <c r="L928" s="138"/>
      <c r="M928" s="138"/>
      <c r="N928" s="138"/>
      <c r="O928" s="25"/>
    </row>
    <row r="929">
      <c r="A929" s="138"/>
      <c r="B929" s="25"/>
      <c r="C929" s="25"/>
      <c r="D929" s="138"/>
      <c r="E929" s="138"/>
      <c r="F929" s="138"/>
      <c r="G929" s="138"/>
      <c r="H929" s="138"/>
      <c r="I929" s="138"/>
      <c r="J929" s="138"/>
      <c r="K929" s="138"/>
      <c r="L929" s="138"/>
      <c r="M929" s="138"/>
      <c r="N929" s="138"/>
      <c r="O929" s="25"/>
    </row>
    <row r="930">
      <c r="A930" s="138"/>
      <c r="B930" s="25"/>
      <c r="C930" s="25"/>
      <c r="D930" s="138"/>
      <c r="E930" s="138"/>
      <c r="F930" s="138"/>
      <c r="G930" s="138"/>
      <c r="H930" s="138"/>
      <c r="I930" s="138"/>
      <c r="J930" s="138"/>
      <c r="K930" s="138"/>
      <c r="L930" s="138"/>
      <c r="M930" s="138"/>
      <c r="N930" s="138"/>
      <c r="O930" s="25"/>
    </row>
    <row r="931">
      <c r="A931" s="138"/>
      <c r="B931" s="25"/>
      <c r="C931" s="25"/>
      <c r="D931" s="138"/>
      <c r="E931" s="138"/>
      <c r="F931" s="138"/>
      <c r="G931" s="138"/>
      <c r="H931" s="138"/>
      <c r="I931" s="138"/>
      <c r="J931" s="138"/>
      <c r="K931" s="138"/>
      <c r="L931" s="138"/>
      <c r="M931" s="138"/>
      <c r="N931" s="138"/>
      <c r="O931" s="25"/>
    </row>
    <row r="932">
      <c r="A932" s="138"/>
      <c r="B932" s="25"/>
      <c r="C932" s="25"/>
      <c r="D932" s="138"/>
      <c r="E932" s="138"/>
      <c r="F932" s="138"/>
      <c r="G932" s="138"/>
      <c r="H932" s="138"/>
      <c r="I932" s="138"/>
      <c r="J932" s="138"/>
      <c r="K932" s="138"/>
      <c r="L932" s="138"/>
      <c r="M932" s="138"/>
      <c r="N932" s="138"/>
      <c r="O932" s="25"/>
    </row>
    <row r="933">
      <c r="A933" s="138"/>
      <c r="B933" s="25"/>
      <c r="C933" s="25"/>
      <c r="D933" s="138"/>
      <c r="E933" s="138"/>
      <c r="F933" s="138"/>
      <c r="G933" s="138"/>
      <c r="H933" s="138"/>
      <c r="I933" s="138"/>
      <c r="J933" s="138"/>
      <c r="K933" s="138"/>
      <c r="L933" s="138"/>
      <c r="M933" s="138"/>
      <c r="N933" s="138"/>
      <c r="O933" s="25"/>
    </row>
    <row r="934">
      <c r="A934" s="138"/>
      <c r="B934" s="25"/>
      <c r="C934" s="25"/>
      <c r="D934" s="138"/>
      <c r="E934" s="138"/>
      <c r="F934" s="138"/>
      <c r="G934" s="138"/>
      <c r="H934" s="138"/>
      <c r="I934" s="138"/>
      <c r="J934" s="138"/>
      <c r="K934" s="138"/>
      <c r="L934" s="138"/>
      <c r="M934" s="138"/>
      <c r="N934" s="138"/>
      <c r="O934" s="25"/>
    </row>
    <row r="935">
      <c r="A935" s="138"/>
      <c r="B935" s="25"/>
      <c r="C935" s="25"/>
      <c r="D935" s="138"/>
      <c r="E935" s="138"/>
      <c r="F935" s="138"/>
      <c r="G935" s="138"/>
      <c r="H935" s="138"/>
      <c r="I935" s="138"/>
      <c r="J935" s="138"/>
      <c r="K935" s="138"/>
      <c r="L935" s="138"/>
      <c r="M935" s="138"/>
      <c r="N935" s="138"/>
      <c r="O935" s="25"/>
    </row>
    <row r="936">
      <c r="A936" s="138"/>
      <c r="B936" s="25"/>
      <c r="C936" s="25"/>
      <c r="D936" s="138"/>
      <c r="E936" s="138"/>
      <c r="F936" s="138"/>
      <c r="G936" s="138"/>
      <c r="H936" s="138"/>
      <c r="I936" s="138"/>
      <c r="J936" s="138"/>
      <c r="K936" s="138"/>
      <c r="L936" s="138"/>
      <c r="M936" s="138"/>
      <c r="N936" s="138"/>
      <c r="O936" s="25"/>
    </row>
    <row r="937">
      <c r="A937" s="138"/>
      <c r="B937" s="25"/>
      <c r="C937" s="25"/>
      <c r="D937" s="138"/>
      <c r="E937" s="138"/>
      <c r="F937" s="138"/>
      <c r="G937" s="138"/>
      <c r="H937" s="138"/>
      <c r="I937" s="138"/>
      <c r="J937" s="138"/>
      <c r="K937" s="138"/>
      <c r="L937" s="138"/>
      <c r="M937" s="138"/>
      <c r="N937" s="138"/>
      <c r="O937" s="25"/>
    </row>
    <row r="938">
      <c r="A938" s="138"/>
      <c r="B938" s="25"/>
      <c r="C938" s="25"/>
      <c r="D938" s="138"/>
      <c r="E938" s="138"/>
      <c r="F938" s="138"/>
      <c r="G938" s="138"/>
      <c r="H938" s="138"/>
      <c r="I938" s="138"/>
      <c r="J938" s="138"/>
      <c r="K938" s="138"/>
      <c r="L938" s="138"/>
      <c r="M938" s="138"/>
      <c r="N938" s="138"/>
      <c r="O938" s="25"/>
    </row>
    <row r="939">
      <c r="A939" s="138"/>
      <c r="B939" s="25"/>
      <c r="C939" s="25"/>
      <c r="D939" s="138"/>
      <c r="E939" s="138"/>
      <c r="F939" s="138"/>
      <c r="G939" s="138"/>
      <c r="H939" s="138"/>
      <c r="I939" s="138"/>
      <c r="J939" s="138"/>
      <c r="K939" s="138"/>
      <c r="L939" s="138"/>
      <c r="M939" s="138"/>
      <c r="N939" s="138"/>
      <c r="O939" s="25"/>
    </row>
    <row r="940">
      <c r="A940" s="138"/>
      <c r="B940" s="25"/>
      <c r="C940" s="25"/>
      <c r="D940" s="138"/>
      <c r="E940" s="138"/>
      <c r="F940" s="138"/>
      <c r="G940" s="138"/>
      <c r="H940" s="138"/>
      <c r="I940" s="138"/>
      <c r="J940" s="138"/>
      <c r="K940" s="138"/>
      <c r="L940" s="138"/>
      <c r="M940" s="138"/>
      <c r="N940" s="138"/>
      <c r="O940" s="25"/>
    </row>
    <row r="941">
      <c r="A941" s="138"/>
      <c r="B941" s="25"/>
      <c r="C941" s="25"/>
      <c r="D941" s="138"/>
      <c r="E941" s="138"/>
      <c r="F941" s="138"/>
      <c r="G941" s="138"/>
      <c r="H941" s="138"/>
      <c r="I941" s="138"/>
      <c r="J941" s="138"/>
      <c r="K941" s="138"/>
      <c r="L941" s="138"/>
      <c r="M941" s="138"/>
      <c r="N941" s="138"/>
      <c r="O941" s="25"/>
    </row>
    <row r="942">
      <c r="A942" s="138"/>
      <c r="B942" s="25"/>
      <c r="C942" s="25"/>
      <c r="D942" s="138"/>
      <c r="E942" s="138"/>
      <c r="F942" s="138"/>
      <c r="G942" s="138"/>
      <c r="H942" s="138"/>
      <c r="I942" s="138"/>
      <c r="J942" s="138"/>
      <c r="K942" s="138"/>
      <c r="L942" s="138"/>
      <c r="M942" s="138"/>
      <c r="N942" s="138"/>
      <c r="O942" s="25"/>
    </row>
    <row r="943">
      <c r="A943" s="138"/>
      <c r="B943" s="25"/>
      <c r="C943" s="25"/>
      <c r="D943" s="138"/>
      <c r="E943" s="138"/>
      <c r="F943" s="138"/>
      <c r="G943" s="138"/>
      <c r="H943" s="138"/>
      <c r="I943" s="138"/>
      <c r="J943" s="138"/>
      <c r="K943" s="138"/>
      <c r="L943" s="138"/>
      <c r="M943" s="138"/>
      <c r="N943" s="138"/>
      <c r="O943" s="25"/>
    </row>
    <row r="944">
      <c r="A944" s="138"/>
      <c r="B944" s="25"/>
      <c r="C944" s="25"/>
      <c r="D944" s="138"/>
      <c r="E944" s="138"/>
      <c r="F944" s="138"/>
      <c r="G944" s="138"/>
      <c r="H944" s="138"/>
      <c r="I944" s="138"/>
      <c r="J944" s="138"/>
      <c r="K944" s="138"/>
      <c r="L944" s="138"/>
      <c r="M944" s="138"/>
      <c r="N944" s="138"/>
      <c r="O944" s="25"/>
    </row>
    <row r="945">
      <c r="A945" s="138"/>
      <c r="B945" s="25"/>
      <c r="C945" s="25"/>
      <c r="D945" s="138"/>
      <c r="E945" s="138"/>
      <c r="F945" s="138"/>
      <c r="G945" s="138"/>
      <c r="H945" s="138"/>
      <c r="I945" s="138"/>
      <c r="J945" s="138"/>
      <c r="K945" s="138"/>
      <c r="L945" s="138"/>
      <c r="M945" s="138"/>
      <c r="N945" s="138"/>
      <c r="O945" s="25"/>
    </row>
    <row r="946">
      <c r="A946" s="138"/>
      <c r="B946" s="25"/>
      <c r="C946" s="25"/>
      <c r="D946" s="138"/>
      <c r="E946" s="138"/>
      <c r="F946" s="138"/>
      <c r="G946" s="138"/>
      <c r="H946" s="138"/>
      <c r="I946" s="138"/>
      <c r="J946" s="138"/>
      <c r="K946" s="138"/>
      <c r="L946" s="138"/>
      <c r="M946" s="138"/>
      <c r="N946" s="138"/>
      <c r="O946" s="25"/>
    </row>
    <row r="947">
      <c r="A947" s="138"/>
      <c r="B947" s="25"/>
      <c r="C947" s="25"/>
      <c r="D947" s="138"/>
      <c r="E947" s="138"/>
      <c r="F947" s="138"/>
      <c r="G947" s="138"/>
      <c r="H947" s="138"/>
      <c r="I947" s="138"/>
      <c r="J947" s="138"/>
      <c r="K947" s="138"/>
      <c r="L947" s="138"/>
      <c r="M947" s="138"/>
      <c r="N947" s="138"/>
      <c r="O947" s="25"/>
    </row>
    <row r="948">
      <c r="A948" s="138"/>
      <c r="B948" s="25"/>
      <c r="C948" s="25"/>
      <c r="D948" s="138"/>
      <c r="E948" s="138"/>
      <c r="F948" s="138"/>
      <c r="G948" s="138"/>
      <c r="H948" s="138"/>
      <c r="I948" s="138"/>
      <c r="J948" s="138"/>
      <c r="K948" s="138"/>
      <c r="L948" s="138"/>
      <c r="M948" s="138"/>
      <c r="N948" s="138"/>
      <c r="O948" s="25"/>
    </row>
    <row r="949">
      <c r="A949" s="138"/>
      <c r="B949" s="25"/>
      <c r="C949" s="25"/>
      <c r="D949" s="138"/>
      <c r="E949" s="138"/>
      <c r="F949" s="138"/>
      <c r="G949" s="138"/>
      <c r="H949" s="138"/>
      <c r="I949" s="138"/>
      <c r="J949" s="138"/>
      <c r="K949" s="138"/>
      <c r="L949" s="138"/>
      <c r="M949" s="138"/>
      <c r="N949" s="138"/>
      <c r="O949" s="25"/>
    </row>
    <row r="950">
      <c r="A950" s="138"/>
      <c r="B950" s="25"/>
      <c r="C950" s="25"/>
      <c r="D950" s="138"/>
      <c r="E950" s="138"/>
      <c r="F950" s="138"/>
      <c r="G950" s="138"/>
      <c r="H950" s="138"/>
      <c r="I950" s="138"/>
      <c r="J950" s="138"/>
      <c r="K950" s="138"/>
      <c r="L950" s="138"/>
      <c r="M950" s="138"/>
      <c r="N950" s="138"/>
      <c r="O950" s="25"/>
    </row>
    <row r="951">
      <c r="A951" s="138"/>
      <c r="B951" s="25"/>
      <c r="C951" s="25"/>
      <c r="D951" s="138"/>
      <c r="E951" s="138"/>
      <c r="F951" s="138"/>
      <c r="G951" s="138"/>
      <c r="H951" s="138"/>
      <c r="I951" s="138"/>
      <c r="J951" s="138"/>
      <c r="K951" s="138"/>
      <c r="L951" s="138"/>
      <c r="M951" s="138"/>
      <c r="N951" s="138"/>
      <c r="O951" s="25"/>
    </row>
    <row r="952">
      <c r="A952" s="138"/>
      <c r="B952" s="25"/>
      <c r="C952" s="25"/>
      <c r="D952" s="138"/>
      <c r="E952" s="138"/>
      <c r="F952" s="138"/>
      <c r="G952" s="138"/>
      <c r="H952" s="138"/>
      <c r="I952" s="138"/>
      <c r="J952" s="138"/>
      <c r="K952" s="138"/>
      <c r="L952" s="138"/>
      <c r="M952" s="138"/>
      <c r="N952" s="138"/>
      <c r="O952" s="25"/>
    </row>
    <row r="953">
      <c r="A953" s="138"/>
      <c r="B953" s="25"/>
      <c r="C953" s="25"/>
      <c r="D953" s="138"/>
      <c r="E953" s="138"/>
      <c r="F953" s="138"/>
      <c r="G953" s="138"/>
      <c r="H953" s="138"/>
      <c r="I953" s="138"/>
      <c r="J953" s="138"/>
      <c r="K953" s="138"/>
      <c r="L953" s="138"/>
      <c r="M953" s="138"/>
      <c r="N953" s="138"/>
      <c r="O953" s="25"/>
    </row>
    <row r="954">
      <c r="A954" s="138"/>
      <c r="B954" s="25"/>
      <c r="C954" s="25"/>
      <c r="D954" s="138"/>
      <c r="E954" s="138"/>
      <c r="F954" s="138"/>
      <c r="G954" s="138"/>
      <c r="H954" s="138"/>
      <c r="I954" s="138"/>
      <c r="J954" s="138"/>
      <c r="K954" s="138"/>
      <c r="L954" s="138"/>
      <c r="M954" s="138"/>
      <c r="N954" s="138"/>
      <c r="O954" s="25"/>
    </row>
    <row r="955">
      <c r="A955" s="138"/>
      <c r="B955" s="25"/>
      <c r="C955" s="25"/>
      <c r="D955" s="138"/>
      <c r="E955" s="138"/>
      <c r="F955" s="138"/>
      <c r="G955" s="138"/>
      <c r="H955" s="138"/>
      <c r="I955" s="138"/>
      <c r="J955" s="138"/>
      <c r="K955" s="138"/>
      <c r="L955" s="138"/>
      <c r="M955" s="138"/>
      <c r="N955" s="138"/>
      <c r="O955" s="25"/>
    </row>
    <row r="956">
      <c r="A956" s="138"/>
      <c r="B956" s="25"/>
      <c r="C956" s="25"/>
      <c r="D956" s="138"/>
      <c r="E956" s="138"/>
      <c r="F956" s="138"/>
      <c r="G956" s="138"/>
      <c r="H956" s="138"/>
      <c r="I956" s="138"/>
      <c r="J956" s="138"/>
      <c r="K956" s="138"/>
      <c r="L956" s="138"/>
      <c r="M956" s="138"/>
      <c r="N956" s="138"/>
      <c r="O956" s="25"/>
    </row>
    <row r="957">
      <c r="A957" s="138"/>
      <c r="B957" s="25"/>
      <c r="C957" s="25"/>
      <c r="D957" s="138"/>
      <c r="E957" s="138"/>
      <c r="F957" s="138"/>
      <c r="G957" s="138"/>
      <c r="H957" s="138"/>
      <c r="I957" s="138"/>
      <c r="J957" s="138"/>
      <c r="K957" s="138"/>
      <c r="L957" s="138"/>
      <c r="M957" s="138"/>
      <c r="N957" s="138"/>
      <c r="O957" s="25"/>
    </row>
    <row r="958">
      <c r="A958" s="138"/>
      <c r="B958" s="25"/>
      <c r="C958" s="25"/>
      <c r="D958" s="138"/>
      <c r="E958" s="138"/>
      <c r="F958" s="138"/>
      <c r="G958" s="138"/>
      <c r="H958" s="138"/>
      <c r="I958" s="138"/>
      <c r="J958" s="138"/>
      <c r="K958" s="138"/>
      <c r="L958" s="138"/>
      <c r="M958" s="138"/>
      <c r="N958" s="138"/>
      <c r="O958" s="25"/>
    </row>
    <row r="959">
      <c r="A959" s="138"/>
      <c r="B959" s="25"/>
      <c r="C959" s="25"/>
      <c r="D959" s="138"/>
      <c r="E959" s="138"/>
      <c r="F959" s="138"/>
      <c r="G959" s="138"/>
      <c r="H959" s="138"/>
      <c r="I959" s="138"/>
      <c r="J959" s="138"/>
      <c r="K959" s="138"/>
      <c r="L959" s="138"/>
      <c r="M959" s="138"/>
      <c r="N959" s="138"/>
      <c r="O959" s="25"/>
    </row>
    <row r="960">
      <c r="A960" s="138"/>
      <c r="B960" s="25"/>
      <c r="C960" s="25"/>
      <c r="D960" s="138"/>
      <c r="E960" s="138"/>
      <c r="F960" s="138"/>
      <c r="G960" s="138"/>
      <c r="H960" s="138"/>
      <c r="I960" s="138"/>
      <c r="J960" s="138"/>
      <c r="K960" s="138"/>
      <c r="L960" s="138"/>
      <c r="M960" s="138"/>
      <c r="N960" s="138"/>
      <c r="O960" s="25"/>
    </row>
    <row r="961">
      <c r="A961" s="138"/>
      <c r="B961" s="25"/>
      <c r="C961" s="25"/>
      <c r="D961" s="138"/>
      <c r="E961" s="138"/>
      <c r="F961" s="138"/>
      <c r="G961" s="138"/>
      <c r="H961" s="138"/>
      <c r="I961" s="138"/>
      <c r="J961" s="138"/>
      <c r="K961" s="138"/>
      <c r="L961" s="138"/>
      <c r="M961" s="138"/>
      <c r="N961" s="138"/>
      <c r="O961" s="25"/>
    </row>
    <row r="962">
      <c r="A962" s="138"/>
      <c r="B962" s="25"/>
      <c r="C962" s="25"/>
      <c r="D962" s="138"/>
      <c r="E962" s="138"/>
      <c r="F962" s="138"/>
      <c r="G962" s="138"/>
      <c r="H962" s="138"/>
      <c r="I962" s="138"/>
      <c r="J962" s="138"/>
      <c r="K962" s="138"/>
      <c r="L962" s="138"/>
      <c r="M962" s="138"/>
      <c r="N962" s="138"/>
      <c r="O962" s="25"/>
    </row>
    <row r="963">
      <c r="A963" s="138"/>
      <c r="B963" s="25"/>
      <c r="C963" s="25"/>
      <c r="D963" s="138"/>
      <c r="E963" s="138"/>
      <c r="F963" s="138"/>
      <c r="G963" s="138"/>
      <c r="H963" s="138"/>
      <c r="I963" s="138"/>
      <c r="J963" s="138"/>
      <c r="K963" s="138"/>
      <c r="L963" s="138"/>
      <c r="M963" s="138"/>
      <c r="N963" s="138"/>
      <c r="O963" s="25"/>
    </row>
    <row r="964">
      <c r="A964" s="138"/>
      <c r="B964" s="25"/>
      <c r="C964" s="25"/>
      <c r="D964" s="138"/>
      <c r="E964" s="138"/>
      <c r="F964" s="138"/>
      <c r="G964" s="138"/>
      <c r="H964" s="138"/>
      <c r="I964" s="138"/>
      <c r="J964" s="138"/>
      <c r="K964" s="138"/>
      <c r="L964" s="138"/>
      <c r="M964" s="138"/>
      <c r="N964" s="138"/>
      <c r="O964" s="25"/>
    </row>
    <row r="965">
      <c r="A965" s="138"/>
      <c r="B965" s="25"/>
      <c r="C965" s="25"/>
      <c r="D965" s="138"/>
      <c r="E965" s="138"/>
      <c r="F965" s="138"/>
      <c r="G965" s="138"/>
      <c r="H965" s="138"/>
      <c r="I965" s="138"/>
      <c r="J965" s="138"/>
      <c r="K965" s="138"/>
      <c r="L965" s="138"/>
      <c r="M965" s="138"/>
      <c r="N965" s="138"/>
      <c r="O965" s="25"/>
    </row>
    <row r="966">
      <c r="A966" s="138"/>
      <c r="B966" s="25"/>
      <c r="C966" s="25"/>
      <c r="D966" s="138"/>
      <c r="E966" s="138"/>
      <c r="F966" s="138"/>
      <c r="G966" s="138"/>
      <c r="H966" s="138"/>
      <c r="I966" s="138"/>
      <c r="J966" s="138"/>
      <c r="K966" s="138"/>
      <c r="L966" s="138"/>
      <c r="M966" s="138"/>
      <c r="N966" s="138"/>
      <c r="O966" s="25"/>
    </row>
    <row r="967">
      <c r="A967" s="138"/>
      <c r="B967" s="25"/>
      <c r="C967" s="25"/>
      <c r="D967" s="138"/>
      <c r="E967" s="138"/>
      <c r="F967" s="138"/>
      <c r="G967" s="138"/>
      <c r="H967" s="138"/>
      <c r="I967" s="138"/>
      <c r="J967" s="138"/>
      <c r="K967" s="138"/>
      <c r="L967" s="138"/>
      <c r="M967" s="138"/>
      <c r="N967" s="138"/>
      <c r="O967" s="25"/>
    </row>
    <row r="968">
      <c r="A968" s="138"/>
      <c r="B968" s="25"/>
      <c r="C968" s="25"/>
      <c r="D968" s="138"/>
      <c r="E968" s="138"/>
      <c r="F968" s="138"/>
      <c r="G968" s="138"/>
      <c r="H968" s="138"/>
      <c r="I968" s="138"/>
      <c r="J968" s="138"/>
      <c r="K968" s="138"/>
      <c r="L968" s="138"/>
      <c r="M968" s="138"/>
      <c r="N968" s="138"/>
      <c r="O968" s="25"/>
    </row>
    <row r="969">
      <c r="A969" s="138"/>
      <c r="B969" s="25"/>
      <c r="C969" s="25"/>
      <c r="D969" s="138"/>
      <c r="E969" s="138"/>
      <c r="F969" s="138"/>
      <c r="G969" s="138"/>
      <c r="H969" s="138"/>
      <c r="I969" s="138"/>
      <c r="J969" s="138"/>
      <c r="K969" s="138"/>
      <c r="L969" s="138"/>
      <c r="M969" s="138"/>
      <c r="N969" s="138"/>
      <c r="O969" s="25"/>
    </row>
    <row r="970">
      <c r="A970" s="138"/>
      <c r="B970" s="25"/>
      <c r="C970" s="25"/>
      <c r="D970" s="138"/>
      <c r="E970" s="138"/>
      <c r="F970" s="138"/>
      <c r="G970" s="138"/>
      <c r="H970" s="138"/>
      <c r="I970" s="138"/>
      <c r="J970" s="138"/>
      <c r="K970" s="138"/>
      <c r="L970" s="138"/>
      <c r="M970" s="138"/>
      <c r="N970" s="138"/>
      <c r="O970" s="25"/>
    </row>
    <row r="971">
      <c r="A971" s="138"/>
      <c r="B971" s="25"/>
      <c r="C971" s="25"/>
      <c r="D971" s="138"/>
      <c r="E971" s="138"/>
      <c r="F971" s="138"/>
      <c r="G971" s="138"/>
      <c r="H971" s="138"/>
      <c r="I971" s="138"/>
      <c r="J971" s="138"/>
      <c r="K971" s="138"/>
      <c r="L971" s="138"/>
      <c r="M971" s="138"/>
      <c r="N971" s="138"/>
      <c r="O971" s="25"/>
    </row>
    <row r="972">
      <c r="A972" s="138"/>
      <c r="B972" s="25"/>
      <c r="C972" s="25"/>
      <c r="D972" s="138"/>
      <c r="E972" s="138"/>
      <c r="F972" s="138"/>
      <c r="G972" s="138"/>
      <c r="H972" s="138"/>
      <c r="I972" s="138"/>
      <c r="J972" s="138"/>
      <c r="K972" s="138"/>
      <c r="L972" s="138"/>
      <c r="M972" s="138"/>
      <c r="N972" s="138"/>
      <c r="O972" s="25"/>
    </row>
    <row r="973">
      <c r="A973" s="138"/>
      <c r="B973" s="25"/>
      <c r="C973" s="25"/>
      <c r="D973" s="138"/>
      <c r="E973" s="138"/>
      <c r="F973" s="138"/>
      <c r="G973" s="138"/>
      <c r="H973" s="138"/>
      <c r="I973" s="138"/>
      <c r="J973" s="138"/>
      <c r="K973" s="138"/>
      <c r="L973" s="138"/>
      <c r="M973" s="138"/>
      <c r="N973" s="138"/>
      <c r="O973" s="25"/>
    </row>
    <row r="974">
      <c r="A974" s="138"/>
      <c r="B974" s="25"/>
      <c r="C974" s="25"/>
      <c r="D974" s="138"/>
      <c r="E974" s="138"/>
      <c r="F974" s="138"/>
      <c r="G974" s="138"/>
      <c r="H974" s="138"/>
      <c r="I974" s="138"/>
      <c r="J974" s="138"/>
      <c r="K974" s="138"/>
      <c r="L974" s="138"/>
      <c r="M974" s="138"/>
      <c r="N974" s="138"/>
      <c r="O974" s="25"/>
    </row>
    <row r="975">
      <c r="A975" s="138"/>
      <c r="B975" s="25"/>
      <c r="C975" s="25"/>
      <c r="D975" s="138"/>
      <c r="E975" s="138"/>
      <c r="F975" s="138"/>
      <c r="G975" s="138"/>
      <c r="H975" s="138"/>
      <c r="I975" s="138"/>
      <c r="J975" s="138"/>
      <c r="K975" s="138"/>
      <c r="L975" s="138"/>
      <c r="M975" s="138"/>
      <c r="N975" s="138"/>
      <c r="O975" s="25"/>
    </row>
    <row r="976">
      <c r="A976" s="138"/>
      <c r="B976" s="25"/>
      <c r="C976" s="25"/>
      <c r="D976" s="138"/>
      <c r="E976" s="138"/>
      <c r="F976" s="138"/>
      <c r="G976" s="138"/>
      <c r="H976" s="138"/>
      <c r="I976" s="138"/>
      <c r="J976" s="138"/>
      <c r="K976" s="138"/>
      <c r="L976" s="138"/>
      <c r="M976" s="138"/>
      <c r="N976" s="138"/>
      <c r="O976" s="25"/>
    </row>
    <row r="977">
      <c r="A977" s="138"/>
      <c r="B977" s="25"/>
      <c r="C977" s="25"/>
      <c r="D977" s="138"/>
      <c r="E977" s="138"/>
      <c r="F977" s="138"/>
      <c r="G977" s="138"/>
      <c r="H977" s="138"/>
      <c r="I977" s="138"/>
      <c r="J977" s="138"/>
      <c r="K977" s="138"/>
      <c r="L977" s="138"/>
      <c r="M977" s="138"/>
      <c r="N977" s="138"/>
      <c r="O977" s="25"/>
    </row>
    <row r="978">
      <c r="A978" s="138"/>
      <c r="B978" s="25"/>
      <c r="C978" s="25"/>
      <c r="D978" s="138"/>
      <c r="E978" s="138"/>
      <c r="F978" s="138"/>
      <c r="G978" s="138"/>
      <c r="H978" s="138"/>
      <c r="I978" s="138"/>
      <c r="J978" s="138"/>
      <c r="K978" s="138"/>
      <c r="L978" s="138"/>
      <c r="M978" s="138"/>
      <c r="N978" s="138"/>
      <c r="O978" s="25"/>
    </row>
    <row r="979">
      <c r="A979" s="138"/>
      <c r="B979" s="25"/>
      <c r="C979" s="25"/>
      <c r="D979" s="138"/>
      <c r="E979" s="138"/>
      <c r="F979" s="138"/>
      <c r="G979" s="138"/>
      <c r="H979" s="138"/>
      <c r="I979" s="138"/>
      <c r="J979" s="138"/>
      <c r="K979" s="138"/>
      <c r="L979" s="138"/>
      <c r="M979" s="138"/>
      <c r="N979" s="138"/>
      <c r="O979" s="25"/>
    </row>
    <row r="980">
      <c r="A980" s="138"/>
      <c r="B980" s="25"/>
      <c r="C980" s="25"/>
      <c r="D980" s="138"/>
      <c r="E980" s="138"/>
      <c r="F980" s="138"/>
      <c r="G980" s="138"/>
      <c r="H980" s="138"/>
      <c r="I980" s="138"/>
      <c r="J980" s="138"/>
      <c r="K980" s="138"/>
      <c r="L980" s="138"/>
      <c r="M980" s="138"/>
      <c r="N980" s="138"/>
      <c r="O980" s="25"/>
    </row>
    <row r="981">
      <c r="A981" s="138"/>
      <c r="B981" s="25"/>
      <c r="C981" s="25"/>
      <c r="D981" s="138"/>
      <c r="E981" s="138"/>
      <c r="F981" s="138"/>
      <c r="G981" s="138"/>
      <c r="H981" s="138"/>
      <c r="I981" s="138"/>
      <c r="J981" s="138"/>
      <c r="K981" s="138"/>
      <c r="L981" s="138"/>
      <c r="M981" s="138"/>
      <c r="N981" s="138"/>
      <c r="O981" s="25"/>
    </row>
    <row r="982">
      <c r="A982" s="138"/>
      <c r="B982" s="25"/>
      <c r="C982" s="25"/>
      <c r="D982" s="138"/>
      <c r="E982" s="138"/>
      <c r="F982" s="138"/>
      <c r="G982" s="138"/>
      <c r="H982" s="138"/>
      <c r="I982" s="138"/>
      <c r="J982" s="138"/>
      <c r="K982" s="138"/>
      <c r="L982" s="138"/>
      <c r="M982" s="138"/>
      <c r="N982" s="138"/>
      <c r="O982" s="25"/>
    </row>
    <row r="983">
      <c r="A983" s="138"/>
      <c r="B983" s="25"/>
      <c r="C983" s="25"/>
      <c r="D983" s="138"/>
      <c r="E983" s="138"/>
      <c r="F983" s="138"/>
      <c r="G983" s="138"/>
      <c r="H983" s="138"/>
      <c r="I983" s="138"/>
      <c r="J983" s="138"/>
      <c r="K983" s="138"/>
      <c r="L983" s="138"/>
      <c r="M983" s="138"/>
      <c r="N983" s="138"/>
      <c r="O983" s="25"/>
    </row>
    <row r="984">
      <c r="A984" s="138"/>
      <c r="B984" s="25"/>
      <c r="C984" s="25"/>
      <c r="D984" s="138"/>
      <c r="E984" s="138"/>
      <c r="F984" s="138"/>
      <c r="G984" s="138"/>
      <c r="H984" s="138"/>
      <c r="I984" s="138"/>
      <c r="J984" s="138"/>
      <c r="K984" s="138"/>
      <c r="L984" s="138"/>
      <c r="M984" s="138"/>
      <c r="N984" s="138"/>
      <c r="O984" s="25"/>
    </row>
    <row r="985">
      <c r="A985" s="138"/>
      <c r="B985" s="25"/>
      <c r="C985" s="25"/>
      <c r="D985" s="138"/>
      <c r="E985" s="138"/>
      <c r="F985" s="138"/>
      <c r="G985" s="138"/>
      <c r="H985" s="138"/>
      <c r="I985" s="138"/>
      <c r="J985" s="138"/>
      <c r="K985" s="138"/>
      <c r="L985" s="138"/>
      <c r="M985" s="138"/>
      <c r="N985" s="138"/>
      <c r="O985" s="25"/>
    </row>
    <row r="986">
      <c r="A986" s="138"/>
      <c r="B986" s="25"/>
      <c r="C986" s="25"/>
      <c r="D986" s="138"/>
      <c r="E986" s="138"/>
      <c r="F986" s="138"/>
      <c r="G986" s="138"/>
      <c r="H986" s="138"/>
      <c r="I986" s="138"/>
      <c r="J986" s="138"/>
      <c r="K986" s="138"/>
      <c r="L986" s="138"/>
      <c r="M986" s="138"/>
      <c r="N986" s="138"/>
      <c r="O986" s="25"/>
    </row>
    <row r="987">
      <c r="A987" s="138"/>
      <c r="B987" s="25"/>
      <c r="C987" s="25"/>
      <c r="D987" s="138"/>
      <c r="E987" s="138"/>
      <c r="F987" s="138"/>
      <c r="G987" s="138"/>
      <c r="H987" s="138"/>
      <c r="I987" s="138"/>
      <c r="J987" s="138"/>
      <c r="K987" s="138"/>
      <c r="L987" s="138"/>
      <c r="M987" s="138"/>
      <c r="N987" s="138"/>
      <c r="O987" s="25"/>
    </row>
    <row r="988">
      <c r="A988" s="138"/>
      <c r="B988" s="25"/>
      <c r="C988" s="25"/>
      <c r="D988" s="138"/>
      <c r="E988" s="138"/>
      <c r="F988" s="138"/>
      <c r="G988" s="138"/>
      <c r="H988" s="138"/>
      <c r="I988" s="138"/>
      <c r="J988" s="138"/>
      <c r="K988" s="138"/>
      <c r="L988" s="138"/>
      <c r="M988" s="138"/>
      <c r="N988" s="138"/>
      <c r="O988" s="25"/>
    </row>
    <row r="989">
      <c r="A989" s="138"/>
      <c r="B989" s="25"/>
      <c r="C989" s="25"/>
      <c r="D989" s="138"/>
      <c r="E989" s="138"/>
      <c r="F989" s="138"/>
      <c r="G989" s="138"/>
      <c r="H989" s="138"/>
      <c r="I989" s="138"/>
      <c r="J989" s="138"/>
      <c r="K989" s="138"/>
      <c r="L989" s="138"/>
      <c r="M989" s="138"/>
      <c r="N989" s="138"/>
      <c r="O989" s="25"/>
    </row>
    <row r="990">
      <c r="A990" s="138"/>
      <c r="B990" s="25"/>
      <c r="C990" s="25"/>
      <c r="D990" s="138"/>
      <c r="E990" s="138"/>
      <c r="F990" s="138"/>
      <c r="G990" s="138"/>
      <c r="H990" s="138"/>
      <c r="I990" s="138"/>
      <c r="J990" s="138"/>
      <c r="K990" s="138"/>
      <c r="L990" s="138"/>
      <c r="M990" s="138"/>
      <c r="N990" s="138"/>
      <c r="O990" s="25"/>
    </row>
    <row r="991">
      <c r="A991" s="138"/>
      <c r="B991" s="25"/>
      <c r="C991" s="25"/>
      <c r="D991" s="138"/>
      <c r="E991" s="138"/>
      <c r="F991" s="138"/>
      <c r="G991" s="138"/>
      <c r="H991" s="138"/>
      <c r="I991" s="138"/>
      <c r="J991" s="138"/>
      <c r="K991" s="138"/>
      <c r="L991" s="138"/>
      <c r="M991" s="138"/>
      <c r="N991" s="138"/>
      <c r="O991" s="25"/>
    </row>
    <row r="992">
      <c r="A992" s="138"/>
      <c r="B992" s="25"/>
      <c r="C992" s="25"/>
      <c r="D992" s="138"/>
      <c r="E992" s="138"/>
      <c r="F992" s="138"/>
      <c r="G992" s="138"/>
      <c r="H992" s="138"/>
      <c r="I992" s="138"/>
      <c r="J992" s="138"/>
      <c r="K992" s="138"/>
      <c r="L992" s="138"/>
      <c r="M992" s="138"/>
      <c r="N992" s="138"/>
      <c r="O992" s="25"/>
    </row>
    <row r="993">
      <c r="A993" s="138"/>
      <c r="B993" s="25"/>
      <c r="C993" s="25"/>
      <c r="D993" s="138"/>
      <c r="E993" s="138"/>
      <c r="F993" s="138"/>
      <c r="G993" s="138"/>
      <c r="H993" s="138"/>
      <c r="I993" s="138"/>
      <c r="J993" s="138"/>
      <c r="K993" s="138"/>
      <c r="L993" s="138"/>
      <c r="M993" s="138"/>
      <c r="N993" s="138"/>
      <c r="O993" s="25"/>
    </row>
    <row r="994">
      <c r="A994" s="138"/>
      <c r="B994" s="25"/>
      <c r="C994" s="25"/>
      <c r="D994" s="138"/>
      <c r="E994" s="138"/>
      <c r="F994" s="138"/>
      <c r="G994" s="138"/>
      <c r="H994" s="138"/>
      <c r="I994" s="138"/>
      <c r="J994" s="138"/>
      <c r="K994" s="138"/>
      <c r="L994" s="138"/>
      <c r="M994" s="138"/>
      <c r="N994" s="138"/>
      <c r="O994" s="25"/>
    </row>
    <row r="995">
      <c r="A995" s="138"/>
      <c r="B995" s="25"/>
      <c r="C995" s="25"/>
      <c r="D995" s="138"/>
      <c r="E995" s="138"/>
      <c r="F995" s="138"/>
      <c r="G995" s="138"/>
      <c r="H995" s="138"/>
      <c r="I995" s="138"/>
      <c r="J995" s="138"/>
      <c r="K995" s="138"/>
      <c r="L995" s="138"/>
      <c r="M995" s="138"/>
      <c r="N995" s="138"/>
      <c r="O995" s="25"/>
    </row>
    <row r="996">
      <c r="A996" s="138"/>
      <c r="B996" s="25"/>
      <c r="C996" s="25"/>
      <c r="D996" s="138"/>
      <c r="E996" s="138"/>
      <c r="F996" s="138"/>
      <c r="G996" s="138"/>
      <c r="H996" s="138"/>
      <c r="I996" s="138"/>
      <c r="J996" s="138"/>
      <c r="K996" s="138"/>
      <c r="L996" s="138"/>
      <c r="M996" s="138"/>
      <c r="N996" s="138"/>
      <c r="O996" s="25"/>
    </row>
    <row r="997">
      <c r="A997" s="138"/>
      <c r="B997" s="25"/>
      <c r="C997" s="25"/>
      <c r="D997" s="138"/>
      <c r="E997" s="138"/>
      <c r="F997" s="138"/>
      <c r="G997" s="138"/>
      <c r="H997" s="138"/>
      <c r="I997" s="138"/>
      <c r="J997" s="138"/>
      <c r="K997" s="138"/>
      <c r="L997" s="138"/>
      <c r="M997" s="138"/>
      <c r="N997" s="138"/>
      <c r="O997" s="25"/>
    </row>
    <row r="998">
      <c r="A998" s="138"/>
      <c r="B998" s="25"/>
      <c r="C998" s="25"/>
      <c r="D998" s="138"/>
      <c r="E998" s="138"/>
      <c r="F998" s="138"/>
      <c r="G998" s="138"/>
      <c r="H998" s="138"/>
      <c r="I998" s="138"/>
      <c r="J998" s="138"/>
      <c r="K998" s="138"/>
      <c r="L998" s="138"/>
      <c r="M998" s="138"/>
      <c r="N998" s="138"/>
      <c r="O998" s="25"/>
    </row>
    <row r="999">
      <c r="A999" s="138"/>
      <c r="B999" s="25"/>
      <c r="C999" s="25"/>
      <c r="D999" s="138"/>
      <c r="E999" s="138"/>
      <c r="F999" s="138"/>
      <c r="G999" s="138"/>
      <c r="H999" s="138"/>
      <c r="I999" s="138"/>
      <c r="J999" s="138"/>
      <c r="K999" s="138"/>
      <c r="L999" s="138"/>
      <c r="M999" s="138"/>
      <c r="N999" s="138"/>
      <c r="O999" s="25"/>
    </row>
    <row r="1000">
      <c r="A1000" s="138"/>
      <c r="B1000" s="25"/>
      <c r="C1000" s="25"/>
      <c r="D1000" s="138"/>
      <c r="E1000" s="138"/>
      <c r="F1000" s="138"/>
      <c r="G1000" s="138"/>
      <c r="H1000" s="138"/>
      <c r="I1000" s="138"/>
      <c r="J1000" s="138"/>
      <c r="K1000" s="138"/>
      <c r="L1000" s="138"/>
      <c r="M1000" s="138"/>
      <c r="N1000" s="138"/>
      <c r="O1000" s="25"/>
    </row>
    <row r="1001">
      <c r="A1001" s="138"/>
      <c r="B1001" s="25"/>
      <c r="C1001" s="25"/>
      <c r="D1001" s="138"/>
      <c r="E1001" s="138"/>
      <c r="F1001" s="138"/>
      <c r="G1001" s="138"/>
      <c r="H1001" s="138"/>
      <c r="I1001" s="138"/>
      <c r="J1001" s="138"/>
      <c r="K1001" s="138"/>
      <c r="L1001" s="138"/>
      <c r="M1001" s="138"/>
      <c r="N1001" s="138"/>
      <c r="O1001" s="25"/>
    </row>
    <row r="1002">
      <c r="A1002" s="138"/>
      <c r="B1002" s="25"/>
      <c r="C1002" s="25"/>
      <c r="D1002" s="138"/>
      <c r="E1002" s="138"/>
      <c r="F1002" s="138"/>
      <c r="G1002" s="138"/>
      <c r="H1002" s="138"/>
      <c r="I1002" s="138"/>
      <c r="J1002" s="138"/>
      <c r="K1002" s="138"/>
      <c r="L1002" s="138"/>
      <c r="M1002" s="138"/>
      <c r="N1002" s="138"/>
      <c r="O1002" s="25"/>
    </row>
    <row r="1003">
      <c r="A1003" s="138"/>
      <c r="B1003" s="25"/>
      <c r="C1003" s="25"/>
      <c r="D1003" s="138"/>
      <c r="E1003" s="138"/>
      <c r="F1003" s="138"/>
      <c r="G1003" s="138"/>
      <c r="H1003" s="138"/>
      <c r="I1003" s="138"/>
      <c r="J1003" s="138"/>
      <c r="K1003" s="138"/>
      <c r="L1003" s="138"/>
      <c r="M1003" s="138"/>
      <c r="N1003" s="138"/>
      <c r="O1003" s="25"/>
    </row>
    <row r="1004">
      <c r="A1004" s="138"/>
      <c r="B1004" s="25"/>
      <c r="C1004" s="25"/>
      <c r="D1004" s="138"/>
      <c r="E1004" s="138"/>
      <c r="F1004" s="138"/>
      <c r="G1004" s="138"/>
      <c r="H1004" s="138"/>
      <c r="I1004" s="138"/>
      <c r="J1004" s="138"/>
      <c r="K1004" s="138"/>
      <c r="L1004" s="138"/>
      <c r="M1004" s="138"/>
      <c r="N1004" s="138"/>
      <c r="O1004" s="25"/>
    </row>
    <row r="1005">
      <c r="A1005" s="138"/>
      <c r="B1005" s="25"/>
      <c r="C1005" s="25"/>
      <c r="D1005" s="138"/>
      <c r="E1005" s="138"/>
      <c r="F1005" s="138"/>
      <c r="G1005" s="138"/>
      <c r="H1005" s="138"/>
      <c r="I1005" s="138"/>
      <c r="J1005" s="138"/>
      <c r="K1005" s="138"/>
      <c r="L1005" s="138"/>
      <c r="M1005" s="138"/>
      <c r="N1005" s="138"/>
      <c r="O1005" s="25"/>
    </row>
    <row r="1006">
      <c r="A1006" s="138"/>
      <c r="B1006" s="25"/>
      <c r="C1006" s="25"/>
      <c r="D1006" s="138"/>
      <c r="E1006" s="138"/>
      <c r="F1006" s="138"/>
      <c r="G1006" s="138"/>
      <c r="H1006" s="138"/>
      <c r="I1006" s="138"/>
      <c r="J1006" s="138"/>
      <c r="K1006" s="138"/>
      <c r="L1006" s="138"/>
      <c r="M1006" s="138"/>
      <c r="N1006" s="138"/>
      <c r="O1006" s="25"/>
    </row>
    <row r="1007">
      <c r="A1007" s="138"/>
      <c r="B1007" s="25"/>
      <c r="C1007" s="25"/>
      <c r="D1007" s="138"/>
      <c r="E1007" s="138"/>
      <c r="F1007" s="138"/>
      <c r="G1007" s="138"/>
      <c r="H1007" s="138"/>
      <c r="I1007" s="138"/>
      <c r="J1007" s="138"/>
      <c r="K1007" s="138"/>
      <c r="L1007" s="138"/>
      <c r="M1007" s="138"/>
      <c r="N1007" s="138"/>
      <c r="O1007" s="25"/>
    </row>
    <row r="1008">
      <c r="A1008" s="138"/>
      <c r="B1008" s="25"/>
      <c r="C1008" s="25"/>
      <c r="D1008" s="138"/>
      <c r="E1008" s="138"/>
      <c r="F1008" s="138"/>
      <c r="G1008" s="138"/>
      <c r="H1008" s="138"/>
      <c r="I1008" s="138"/>
      <c r="J1008" s="138"/>
      <c r="K1008" s="138"/>
      <c r="L1008" s="138"/>
      <c r="M1008" s="138"/>
      <c r="N1008" s="138"/>
      <c r="O1008" s="25"/>
    </row>
    <row r="1009">
      <c r="A1009" s="138"/>
      <c r="B1009" s="25"/>
      <c r="C1009" s="25"/>
      <c r="D1009" s="138"/>
      <c r="E1009" s="138"/>
      <c r="F1009" s="138"/>
      <c r="G1009" s="138"/>
      <c r="H1009" s="138"/>
      <c r="I1009" s="138"/>
      <c r="J1009" s="138"/>
      <c r="K1009" s="138"/>
      <c r="L1009" s="138"/>
      <c r="M1009" s="138"/>
      <c r="N1009" s="138"/>
      <c r="O1009" s="25"/>
    </row>
    <row r="1010">
      <c r="A1010" s="138"/>
      <c r="B1010" s="25"/>
      <c r="C1010" s="25"/>
      <c r="D1010" s="138"/>
      <c r="E1010" s="138"/>
      <c r="F1010" s="138"/>
      <c r="G1010" s="138"/>
      <c r="H1010" s="138"/>
      <c r="I1010" s="138"/>
      <c r="J1010" s="138"/>
      <c r="K1010" s="138"/>
      <c r="L1010" s="138"/>
      <c r="M1010" s="138"/>
      <c r="N1010" s="138"/>
      <c r="O1010" s="25"/>
    </row>
    <row r="1011">
      <c r="A1011" s="138"/>
      <c r="B1011" s="25"/>
      <c r="C1011" s="25"/>
      <c r="D1011" s="138"/>
      <c r="E1011" s="138"/>
      <c r="F1011" s="138"/>
      <c r="G1011" s="138"/>
      <c r="H1011" s="138"/>
      <c r="I1011" s="138"/>
      <c r="J1011" s="138"/>
      <c r="K1011" s="138"/>
      <c r="L1011" s="138"/>
      <c r="M1011" s="138"/>
      <c r="N1011" s="138"/>
      <c r="O1011" s="25"/>
    </row>
    <row r="1012">
      <c r="A1012" s="138"/>
      <c r="B1012" s="25"/>
      <c r="C1012" s="25"/>
      <c r="D1012" s="138"/>
      <c r="E1012" s="138"/>
      <c r="F1012" s="138"/>
      <c r="G1012" s="138"/>
      <c r="H1012" s="138"/>
      <c r="I1012" s="138"/>
      <c r="J1012" s="138"/>
      <c r="K1012" s="138"/>
      <c r="L1012" s="138"/>
      <c r="M1012" s="138"/>
      <c r="N1012" s="138"/>
      <c r="O1012" s="25"/>
    </row>
    <row r="1013">
      <c r="A1013" s="138"/>
      <c r="B1013" s="25"/>
      <c r="C1013" s="25"/>
      <c r="D1013" s="138"/>
      <c r="E1013" s="138"/>
      <c r="F1013" s="138"/>
      <c r="G1013" s="138"/>
      <c r="H1013" s="138"/>
      <c r="I1013" s="138"/>
      <c r="J1013" s="138"/>
      <c r="K1013" s="138"/>
      <c r="L1013" s="138"/>
      <c r="M1013" s="138"/>
      <c r="N1013" s="138"/>
      <c r="O1013" s="25"/>
    </row>
    <row r="1014">
      <c r="A1014" s="138"/>
      <c r="B1014" s="25"/>
      <c r="C1014" s="25"/>
      <c r="D1014" s="138"/>
      <c r="E1014" s="138"/>
      <c r="F1014" s="138"/>
      <c r="G1014" s="138"/>
      <c r="H1014" s="138"/>
      <c r="I1014" s="138"/>
      <c r="J1014" s="138"/>
      <c r="K1014" s="138"/>
      <c r="L1014" s="138"/>
      <c r="M1014" s="138"/>
      <c r="N1014" s="138"/>
      <c r="O1014" s="25"/>
    </row>
    <row r="1015">
      <c r="A1015" s="138"/>
      <c r="B1015" s="25"/>
      <c r="C1015" s="25"/>
      <c r="D1015" s="138"/>
      <c r="E1015" s="138"/>
      <c r="F1015" s="138"/>
      <c r="G1015" s="138"/>
      <c r="H1015" s="138"/>
      <c r="I1015" s="138"/>
      <c r="J1015" s="138"/>
      <c r="K1015" s="138"/>
      <c r="L1015" s="138"/>
      <c r="M1015" s="138"/>
      <c r="N1015" s="138"/>
      <c r="O1015" s="25"/>
    </row>
  </sheetData>
  <autoFilter ref="$A$1:$O$115"/>
  <dataValidations>
    <dataValidation type="list" allowBlank="1" sqref="F2:G115 G116:G1015">
      <formula1>'_document type values'!$A:$A</formula1>
    </dataValidation>
  </dataValidations>
  <hyperlinks>
    <hyperlink r:id="rId1" ref="K2"/>
    <hyperlink r:id="rId2" ref="K3"/>
    <hyperlink r:id="rId3" ref="K4"/>
    <hyperlink r:id="rId4" ref="K5"/>
    <hyperlink r:id="rId5" ref="K6"/>
    <hyperlink r:id="rId6" ref="K7"/>
    <hyperlink r:id="rId7" ref="J8"/>
    <hyperlink r:id="rId8" ref="K8"/>
    <hyperlink r:id="rId9" ref="J9"/>
    <hyperlink r:id="rId10" ref="K9"/>
    <hyperlink r:id="rId11" ref="K10"/>
    <hyperlink r:id="rId12" ref="K11"/>
    <hyperlink r:id="rId13" ref="K12"/>
    <hyperlink r:id="rId14" ref="K13"/>
    <hyperlink r:id="rId15" ref="K14"/>
    <hyperlink r:id="rId16" ref="K15"/>
    <hyperlink r:id="rId17" ref="K16"/>
    <hyperlink r:id="rId18" ref="K17"/>
    <hyperlink r:id="rId19" ref="K18"/>
    <hyperlink r:id="rId20" ref="K19"/>
    <hyperlink r:id="rId21" ref="K20"/>
    <hyperlink r:id="rId22" ref="K21"/>
    <hyperlink r:id="rId23" ref="K22"/>
    <hyperlink r:id="rId24" ref="K23"/>
    <hyperlink r:id="rId25" ref="K24"/>
    <hyperlink r:id="rId26" ref="K25"/>
    <hyperlink r:id="rId27" ref="K26"/>
    <hyperlink r:id="rId28" ref="K27"/>
    <hyperlink r:id="rId29" ref="K28"/>
    <hyperlink r:id="rId30" ref="K29"/>
    <hyperlink r:id="rId31" ref="K30"/>
    <hyperlink r:id="rId32" ref="K31"/>
    <hyperlink r:id="rId33" ref="K32"/>
    <hyperlink r:id="rId34" ref="K33"/>
    <hyperlink r:id="rId35" ref="K34"/>
    <hyperlink r:id="rId36" ref="K35"/>
    <hyperlink r:id="rId37" ref="K36"/>
    <hyperlink r:id="rId38" ref="K37"/>
    <hyperlink r:id="rId39" ref="K38"/>
    <hyperlink r:id="rId40" ref="K39"/>
    <hyperlink r:id="rId41" ref="K40"/>
    <hyperlink r:id="rId42" ref="K41"/>
    <hyperlink r:id="rId43" ref="K42"/>
    <hyperlink r:id="rId44" ref="K43"/>
    <hyperlink r:id="rId45" ref="K44"/>
    <hyperlink r:id="rId46" ref="K45"/>
    <hyperlink r:id="rId47" ref="K46"/>
    <hyperlink r:id="rId48" ref="K47"/>
    <hyperlink r:id="rId49" ref="K48"/>
    <hyperlink r:id="rId50" ref="K49"/>
    <hyperlink r:id="rId51" ref="K50"/>
    <hyperlink r:id="rId52" ref="K51"/>
    <hyperlink r:id="rId53" ref="K52"/>
    <hyperlink r:id="rId54" ref="K53"/>
    <hyperlink r:id="rId55" ref="K54"/>
    <hyperlink r:id="rId56" ref="K55"/>
    <hyperlink r:id="rId57" ref="K56"/>
    <hyperlink r:id="rId58" ref="K57"/>
    <hyperlink r:id="rId59" ref="K58"/>
    <hyperlink r:id="rId60" ref="K59"/>
    <hyperlink r:id="rId61" ref="K60"/>
    <hyperlink r:id="rId62" ref="K61"/>
    <hyperlink r:id="rId63" ref="K62"/>
    <hyperlink r:id="rId64" ref="K63"/>
    <hyperlink r:id="rId65" ref="K64"/>
    <hyperlink r:id="rId66" ref="K65"/>
    <hyperlink r:id="rId67" ref="K66"/>
    <hyperlink r:id="rId68" ref="K67"/>
    <hyperlink r:id="rId69" ref="K68"/>
    <hyperlink r:id="rId70" ref="K69"/>
    <hyperlink r:id="rId71" ref="K70"/>
    <hyperlink r:id="rId72" ref="K71"/>
    <hyperlink r:id="rId73" ref="K72"/>
    <hyperlink r:id="rId74" ref="K73"/>
    <hyperlink r:id="rId75" ref="K74"/>
    <hyperlink r:id="rId76" ref="K75"/>
    <hyperlink r:id="rId77" ref="K76"/>
    <hyperlink r:id="rId78" ref="K77"/>
    <hyperlink r:id="rId79" ref="K78"/>
    <hyperlink r:id="rId80" ref="K79"/>
    <hyperlink r:id="rId81" ref="K80"/>
    <hyperlink r:id="rId82" ref="K81"/>
    <hyperlink r:id="rId83" ref="K82"/>
    <hyperlink r:id="rId84" ref="K83"/>
    <hyperlink r:id="rId85" ref="K84"/>
    <hyperlink r:id="rId86" ref="J85"/>
    <hyperlink r:id="rId87" ref="K85"/>
    <hyperlink r:id="rId88" ref="J86"/>
    <hyperlink r:id="rId89" ref="K86"/>
    <hyperlink r:id="rId90" ref="K87"/>
    <hyperlink r:id="rId91" ref="K88"/>
    <hyperlink r:id="rId92" ref="K89"/>
    <hyperlink r:id="rId93" ref="K90"/>
    <hyperlink r:id="rId94" ref="K91"/>
    <hyperlink r:id="rId95" ref="K92"/>
    <hyperlink r:id="rId96" ref="K93"/>
    <hyperlink r:id="rId97" ref="K94"/>
    <hyperlink r:id="rId98" ref="K95"/>
    <hyperlink r:id="rId99" ref="K96"/>
    <hyperlink r:id="rId100" ref="K97"/>
    <hyperlink r:id="rId101" ref="K98"/>
    <hyperlink r:id="rId102" ref="K99"/>
    <hyperlink r:id="rId103" ref="K100"/>
    <hyperlink r:id="rId104" ref="K101"/>
    <hyperlink r:id="rId105" ref="K102"/>
    <hyperlink r:id="rId106" ref="J103"/>
    <hyperlink r:id="rId107" ref="K103"/>
    <hyperlink r:id="rId108" ref="J104"/>
    <hyperlink r:id="rId109" ref="K104"/>
    <hyperlink r:id="rId110" ref="J105"/>
    <hyperlink r:id="rId111" ref="K105"/>
    <hyperlink r:id="rId112" ref="J106"/>
    <hyperlink r:id="rId113" ref="K106"/>
    <hyperlink r:id="rId114" ref="J107"/>
    <hyperlink r:id="rId115" ref="K107"/>
    <hyperlink r:id="rId116" ref="J108"/>
    <hyperlink r:id="rId117" ref="K108"/>
    <hyperlink r:id="rId118" ref="K109"/>
    <hyperlink r:id="rId119" ref="K110"/>
    <hyperlink r:id="rId120" ref="B111"/>
    <hyperlink r:id="rId121" ref="J111"/>
    <hyperlink r:id="rId122" ref="K111"/>
    <hyperlink r:id="rId123" ref="J112"/>
    <hyperlink r:id="rId124" ref="K112"/>
    <hyperlink r:id="rId125" ref="K113"/>
    <hyperlink r:id="rId126" ref="K114"/>
    <hyperlink r:id="rId127" ref="K115"/>
  </hyperlinks>
  <drawing r:id="rId128"/>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hidden="1" min="3" max="3" width="12.63"/>
    <col hidden="1" min="6" max="8" width="12.63"/>
    <col hidden="1" min="10" max="12" width="12.63"/>
    <col customWidth="1" hidden="1" min="13" max="13" width="54.63"/>
    <col customWidth="1" min="14" max="14" width="13.88"/>
    <col customWidth="1" min="15" max="15" width="21.38"/>
    <col customWidth="1" min="16" max="16" width="136.38"/>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26" t="s">
        <v>8</v>
      </c>
      <c r="P1" s="26" t="s">
        <v>9</v>
      </c>
      <c r="Q1" s="27"/>
      <c r="R1" s="27"/>
      <c r="S1" s="27"/>
      <c r="T1" s="27"/>
      <c r="U1" s="27"/>
      <c r="V1" s="27"/>
      <c r="W1" s="27"/>
      <c r="X1" s="27"/>
      <c r="Y1" s="27"/>
      <c r="Z1" s="27"/>
      <c r="AA1" s="27"/>
      <c r="AB1" s="27"/>
    </row>
    <row r="2">
      <c r="A2" s="28">
        <v>10061.0</v>
      </c>
      <c r="B2" s="29" t="s">
        <v>5324</v>
      </c>
      <c r="C2" s="29" t="s">
        <v>432</v>
      </c>
      <c r="D2" s="29" t="s">
        <v>4953</v>
      </c>
      <c r="E2" s="29" t="s">
        <v>4954</v>
      </c>
      <c r="F2" s="30"/>
      <c r="G2" s="29" t="s">
        <v>664</v>
      </c>
      <c r="H2" s="29" t="s">
        <v>434</v>
      </c>
      <c r="I2" s="29" t="s">
        <v>144</v>
      </c>
      <c r="J2" s="30"/>
      <c r="K2" s="30"/>
      <c r="L2" s="29" t="s">
        <v>511</v>
      </c>
      <c r="M2" s="29" t="s">
        <v>5325</v>
      </c>
      <c r="N2" s="29"/>
      <c r="O2" s="29"/>
      <c r="P2" s="29" t="s">
        <v>5326</v>
      </c>
    </row>
    <row r="3">
      <c r="A3" s="28">
        <v>1737.0</v>
      </c>
      <c r="B3" s="29" t="s">
        <v>5327</v>
      </c>
      <c r="C3" s="29" t="s">
        <v>449</v>
      </c>
      <c r="D3" s="29" t="s">
        <v>4963</v>
      </c>
      <c r="E3" s="29" t="s">
        <v>4964</v>
      </c>
      <c r="F3" s="30"/>
      <c r="G3" s="29" t="s">
        <v>441</v>
      </c>
      <c r="H3" s="29" t="s">
        <v>434</v>
      </c>
      <c r="I3" s="29" t="s">
        <v>41</v>
      </c>
      <c r="J3" s="30"/>
      <c r="K3" s="29" t="s">
        <v>659</v>
      </c>
      <c r="L3" s="29" t="s">
        <v>1136</v>
      </c>
      <c r="M3" s="29" t="s">
        <v>5328</v>
      </c>
      <c r="N3" s="29"/>
      <c r="O3" s="29"/>
      <c r="P3" s="29" t="s">
        <v>5329</v>
      </c>
    </row>
    <row r="4">
      <c r="A4" s="28">
        <v>9213.0</v>
      </c>
      <c r="B4" s="29" t="s">
        <v>5330</v>
      </c>
      <c r="C4" s="29" t="s">
        <v>449</v>
      </c>
      <c r="D4" s="29" t="s">
        <v>4963</v>
      </c>
      <c r="E4" s="29" t="s">
        <v>4964</v>
      </c>
      <c r="F4" s="30"/>
      <c r="G4" s="29" t="s">
        <v>441</v>
      </c>
      <c r="H4" s="29" t="s">
        <v>1157</v>
      </c>
      <c r="I4" s="29" t="s">
        <v>41</v>
      </c>
      <c r="J4" s="30"/>
      <c r="K4" s="29" t="s">
        <v>444</v>
      </c>
      <c r="L4" s="29" t="s">
        <v>489</v>
      </c>
      <c r="M4" s="29" t="s">
        <v>5331</v>
      </c>
      <c r="N4" s="29"/>
      <c r="O4" s="29"/>
      <c r="P4" s="29" t="s">
        <v>5332</v>
      </c>
    </row>
    <row r="5">
      <c r="A5" s="28">
        <v>9755.0</v>
      </c>
      <c r="B5" s="29" t="s">
        <v>5333</v>
      </c>
      <c r="C5" s="29" t="s">
        <v>432</v>
      </c>
      <c r="D5" s="29" t="s">
        <v>4963</v>
      </c>
      <c r="E5" s="29" t="s">
        <v>4964</v>
      </c>
      <c r="F5" s="30"/>
      <c r="G5" s="29" t="s">
        <v>441</v>
      </c>
      <c r="H5" s="29" t="s">
        <v>469</v>
      </c>
      <c r="I5" s="29" t="s">
        <v>435</v>
      </c>
      <c r="J5" s="30"/>
      <c r="K5" s="29" t="s">
        <v>5334</v>
      </c>
      <c r="L5" s="29" t="s">
        <v>4120</v>
      </c>
      <c r="M5" s="29" t="s">
        <v>5335</v>
      </c>
      <c r="N5" s="29"/>
      <c r="O5" s="29"/>
      <c r="P5" s="29" t="s">
        <v>5336</v>
      </c>
    </row>
    <row r="6">
      <c r="A6" s="28">
        <v>10115.0</v>
      </c>
      <c r="B6" s="29" t="s">
        <v>5337</v>
      </c>
      <c r="C6" s="29" t="s">
        <v>432</v>
      </c>
      <c r="D6" s="29" t="s">
        <v>4963</v>
      </c>
      <c r="E6" s="29" t="s">
        <v>4964</v>
      </c>
      <c r="F6" s="30"/>
      <c r="G6" s="29" t="s">
        <v>441</v>
      </c>
      <c r="H6" s="29" t="s">
        <v>434</v>
      </c>
      <c r="I6" s="29" t="s">
        <v>18</v>
      </c>
      <c r="J6" s="30"/>
      <c r="K6" s="30"/>
      <c r="L6" s="29" t="s">
        <v>511</v>
      </c>
      <c r="M6" s="29" t="s">
        <v>5338</v>
      </c>
      <c r="N6" s="29"/>
      <c r="O6" s="29"/>
      <c r="P6" s="29" t="s">
        <v>5339</v>
      </c>
    </row>
    <row r="7">
      <c r="A7" s="28">
        <v>10294.0</v>
      </c>
      <c r="B7" s="29" t="s">
        <v>5340</v>
      </c>
      <c r="C7" s="29" t="s">
        <v>432</v>
      </c>
      <c r="D7" s="29" t="s">
        <v>4963</v>
      </c>
      <c r="E7" s="29" t="s">
        <v>4964</v>
      </c>
      <c r="F7" s="30"/>
      <c r="G7" s="29" t="s">
        <v>441</v>
      </c>
      <c r="H7" s="29" t="s">
        <v>434</v>
      </c>
      <c r="I7" s="29" t="s">
        <v>1741</v>
      </c>
      <c r="J7" s="30"/>
      <c r="K7" s="30"/>
      <c r="L7" s="29" t="s">
        <v>1781</v>
      </c>
      <c r="M7" s="29" t="s">
        <v>5341</v>
      </c>
      <c r="N7" s="29"/>
      <c r="O7" s="29"/>
      <c r="P7" s="29" t="s">
        <v>5342</v>
      </c>
    </row>
    <row r="8">
      <c r="A8" s="28">
        <v>1746.0</v>
      </c>
      <c r="B8" s="29" t="s">
        <v>5343</v>
      </c>
      <c r="C8" s="29" t="s">
        <v>432</v>
      </c>
      <c r="D8" s="29" t="s">
        <v>5007</v>
      </c>
      <c r="E8" s="29" t="s">
        <v>5008</v>
      </c>
      <c r="F8" s="29" t="s">
        <v>450</v>
      </c>
      <c r="G8" s="29" t="s">
        <v>450</v>
      </c>
      <c r="H8" s="29" t="s">
        <v>5344</v>
      </c>
      <c r="I8" s="29" t="s">
        <v>850</v>
      </c>
      <c r="J8" s="29" t="s">
        <v>5345</v>
      </c>
      <c r="K8" s="29" t="s">
        <v>450</v>
      </c>
      <c r="L8" s="29" t="s">
        <v>465</v>
      </c>
      <c r="M8" s="29" t="s">
        <v>5346</v>
      </c>
      <c r="N8" s="29"/>
      <c r="O8" s="29"/>
      <c r="P8" s="29" t="s">
        <v>5347</v>
      </c>
    </row>
    <row r="9">
      <c r="A9" s="28">
        <v>1754.0</v>
      </c>
      <c r="B9" s="29" t="s">
        <v>5348</v>
      </c>
      <c r="C9" s="29" t="s">
        <v>449</v>
      </c>
      <c r="D9" s="29" t="s">
        <v>5007</v>
      </c>
      <c r="E9" s="29" t="s">
        <v>5008</v>
      </c>
      <c r="F9" s="30"/>
      <c r="G9" s="29" t="s">
        <v>441</v>
      </c>
      <c r="H9" s="29" t="s">
        <v>434</v>
      </c>
      <c r="I9" s="29" t="s">
        <v>41</v>
      </c>
      <c r="J9" s="30"/>
      <c r="K9" s="29" t="s">
        <v>5349</v>
      </c>
      <c r="L9" s="29" t="s">
        <v>459</v>
      </c>
      <c r="M9" s="29" t="s">
        <v>5350</v>
      </c>
      <c r="N9" s="29"/>
      <c r="O9" s="29"/>
      <c r="P9" s="29" t="s">
        <v>5351</v>
      </c>
    </row>
    <row r="10">
      <c r="A10" s="28">
        <v>1755.0</v>
      </c>
      <c r="B10" s="29" t="s">
        <v>4685</v>
      </c>
      <c r="C10" s="29" t="s">
        <v>449</v>
      </c>
      <c r="D10" s="29" t="s">
        <v>5007</v>
      </c>
      <c r="E10" s="29" t="s">
        <v>5008</v>
      </c>
      <c r="F10" s="29" t="s">
        <v>433</v>
      </c>
      <c r="G10" s="29" t="s">
        <v>433</v>
      </c>
      <c r="H10" s="29" t="s">
        <v>5352</v>
      </c>
      <c r="I10" s="29" t="s">
        <v>41</v>
      </c>
      <c r="J10" s="29" t="s">
        <v>1827</v>
      </c>
      <c r="K10" s="29" t="s">
        <v>5353</v>
      </c>
      <c r="L10" s="29" t="s">
        <v>1142</v>
      </c>
      <c r="M10" s="29" t="s">
        <v>5354</v>
      </c>
      <c r="N10" s="29"/>
      <c r="O10" s="29"/>
      <c r="P10" s="29" t="s">
        <v>5355</v>
      </c>
    </row>
    <row r="11">
      <c r="A11" s="28">
        <v>1765.0</v>
      </c>
      <c r="B11" s="29" t="s">
        <v>5356</v>
      </c>
      <c r="C11" s="29" t="s">
        <v>449</v>
      </c>
      <c r="D11" s="29" t="s">
        <v>5007</v>
      </c>
      <c r="E11" s="29" t="s">
        <v>5008</v>
      </c>
      <c r="F11" s="30"/>
      <c r="G11" s="29" t="s">
        <v>441</v>
      </c>
      <c r="H11" s="29" t="s">
        <v>3036</v>
      </c>
      <c r="I11" s="29" t="s">
        <v>41</v>
      </c>
      <c r="J11" s="30"/>
      <c r="K11" s="29" t="s">
        <v>5357</v>
      </c>
      <c r="L11" s="29" t="s">
        <v>445</v>
      </c>
      <c r="M11" s="29" t="s">
        <v>5358</v>
      </c>
      <c r="N11" s="29"/>
      <c r="O11" s="29"/>
      <c r="P11" s="29" t="s">
        <v>5359</v>
      </c>
    </row>
    <row r="12">
      <c r="A12" s="28">
        <v>1766.0</v>
      </c>
      <c r="B12" s="29" t="s">
        <v>5038</v>
      </c>
      <c r="C12" s="29" t="s">
        <v>449</v>
      </c>
      <c r="D12" s="29" t="s">
        <v>5007</v>
      </c>
      <c r="E12" s="29" t="s">
        <v>5008</v>
      </c>
      <c r="F12" s="30"/>
      <c r="G12" s="29" t="s">
        <v>441</v>
      </c>
      <c r="H12" s="29" t="s">
        <v>3036</v>
      </c>
      <c r="I12" s="29" t="s">
        <v>41</v>
      </c>
      <c r="J12" s="30"/>
      <c r="K12" s="29" t="s">
        <v>493</v>
      </c>
      <c r="L12" s="29" t="s">
        <v>621</v>
      </c>
      <c r="M12" s="29" t="s">
        <v>5360</v>
      </c>
      <c r="N12" s="29"/>
      <c r="O12" s="29"/>
      <c r="P12" s="29" t="s">
        <v>5361</v>
      </c>
    </row>
    <row r="13">
      <c r="A13" s="28">
        <v>1767.0</v>
      </c>
      <c r="B13" s="29" t="s">
        <v>5362</v>
      </c>
      <c r="C13" s="29" t="s">
        <v>449</v>
      </c>
      <c r="D13" s="29" t="s">
        <v>5007</v>
      </c>
      <c r="E13" s="29" t="s">
        <v>5008</v>
      </c>
      <c r="F13" s="30"/>
      <c r="G13" s="29" t="s">
        <v>441</v>
      </c>
      <c r="H13" s="29" t="s">
        <v>469</v>
      </c>
      <c r="I13" s="29" t="s">
        <v>41</v>
      </c>
      <c r="J13" s="30"/>
      <c r="K13" s="29" t="s">
        <v>1141</v>
      </c>
      <c r="L13" s="29" t="s">
        <v>459</v>
      </c>
      <c r="M13" s="29" t="s">
        <v>5363</v>
      </c>
      <c r="N13" s="29"/>
      <c r="O13" s="29"/>
      <c r="P13" s="29" t="s">
        <v>5364</v>
      </c>
    </row>
    <row r="14">
      <c r="A14" s="28">
        <v>2045.0</v>
      </c>
      <c r="B14" s="29" t="s">
        <v>5365</v>
      </c>
      <c r="C14" s="29" t="s">
        <v>449</v>
      </c>
      <c r="D14" s="29" t="s">
        <v>5007</v>
      </c>
      <c r="E14" s="29" t="s">
        <v>5008</v>
      </c>
      <c r="F14" s="30"/>
      <c r="G14" s="29" t="s">
        <v>441</v>
      </c>
      <c r="H14" s="29" t="s">
        <v>3067</v>
      </c>
      <c r="I14" s="29" t="s">
        <v>41</v>
      </c>
      <c r="J14" s="30"/>
      <c r="K14" s="29" t="s">
        <v>643</v>
      </c>
      <c r="L14" s="29" t="s">
        <v>522</v>
      </c>
      <c r="M14" s="29" t="s">
        <v>5366</v>
      </c>
      <c r="N14" s="29"/>
      <c r="O14" s="29"/>
      <c r="P14" s="29" t="s">
        <v>5367</v>
      </c>
    </row>
    <row r="15">
      <c r="A15" s="28">
        <v>9460.0</v>
      </c>
      <c r="B15" s="29" t="s">
        <v>5368</v>
      </c>
      <c r="C15" s="29" t="s">
        <v>432</v>
      </c>
      <c r="D15" s="29" t="s">
        <v>5007</v>
      </c>
      <c r="E15" s="29" t="s">
        <v>5008</v>
      </c>
      <c r="F15" s="30"/>
      <c r="G15" s="29" t="s">
        <v>441</v>
      </c>
      <c r="H15" s="29" t="s">
        <v>1784</v>
      </c>
      <c r="I15" s="29" t="s">
        <v>144</v>
      </c>
      <c r="J15" s="30"/>
      <c r="K15" s="29" t="s">
        <v>5369</v>
      </c>
      <c r="L15" s="29" t="s">
        <v>476</v>
      </c>
      <c r="M15" s="29" t="s">
        <v>5370</v>
      </c>
      <c r="N15" s="29"/>
      <c r="O15" s="29"/>
      <c r="P15" s="29" t="s">
        <v>5371</v>
      </c>
    </row>
    <row r="16">
      <c r="A16" s="28">
        <v>9487.0</v>
      </c>
      <c r="B16" s="29" t="s">
        <v>5372</v>
      </c>
      <c r="C16" s="29" t="s">
        <v>432</v>
      </c>
      <c r="D16" s="29" t="s">
        <v>5007</v>
      </c>
      <c r="E16" s="29" t="s">
        <v>5008</v>
      </c>
      <c r="F16" s="30"/>
      <c r="G16" s="29" t="s">
        <v>441</v>
      </c>
      <c r="H16" s="29" t="s">
        <v>5373</v>
      </c>
      <c r="I16" s="29" t="s">
        <v>686</v>
      </c>
      <c r="J16" s="30"/>
      <c r="K16" s="29" t="s">
        <v>5374</v>
      </c>
      <c r="L16" s="29" t="s">
        <v>476</v>
      </c>
      <c r="M16" s="29" t="s">
        <v>5375</v>
      </c>
      <c r="N16" s="29"/>
      <c r="O16" s="29"/>
      <c r="P16" s="29" t="s">
        <v>5376</v>
      </c>
    </row>
    <row r="17">
      <c r="A17" s="28">
        <v>9743.0</v>
      </c>
      <c r="B17" s="29" t="s">
        <v>5065</v>
      </c>
      <c r="C17" s="29" t="s">
        <v>449</v>
      </c>
      <c r="D17" s="29" t="s">
        <v>5007</v>
      </c>
      <c r="E17" s="29" t="s">
        <v>5008</v>
      </c>
      <c r="F17" s="30"/>
      <c r="G17" s="29" t="s">
        <v>441</v>
      </c>
      <c r="H17" s="29" t="s">
        <v>434</v>
      </c>
      <c r="I17" s="29" t="s">
        <v>45</v>
      </c>
      <c r="J17" s="30"/>
      <c r="K17" s="29" t="s">
        <v>5377</v>
      </c>
      <c r="L17" s="29" t="s">
        <v>459</v>
      </c>
      <c r="M17" s="29" t="s">
        <v>5378</v>
      </c>
      <c r="N17" s="29"/>
      <c r="O17" s="29"/>
      <c r="P17" s="29" t="s">
        <v>5379</v>
      </c>
    </row>
    <row r="18">
      <c r="A18" s="28">
        <v>9942.0</v>
      </c>
      <c r="B18" s="29" t="s">
        <v>5380</v>
      </c>
      <c r="C18" s="29" t="s">
        <v>432</v>
      </c>
      <c r="D18" s="29" t="s">
        <v>5007</v>
      </c>
      <c r="E18" s="29" t="s">
        <v>5008</v>
      </c>
      <c r="F18" s="30"/>
      <c r="G18" s="29" t="s">
        <v>433</v>
      </c>
      <c r="H18" s="29" t="s">
        <v>1183</v>
      </c>
      <c r="I18" s="29" t="s">
        <v>443</v>
      </c>
      <c r="J18" s="30"/>
      <c r="K18" s="29" t="s">
        <v>5381</v>
      </c>
      <c r="L18" s="29" t="s">
        <v>489</v>
      </c>
      <c r="M18" s="29" t="s">
        <v>5382</v>
      </c>
      <c r="N18" s="29"/>
      <c r="O18" s="29"/>
      <c r="P18" s="29" t="s">
        <v>5383</v>
      </c>
    </row>
    <row r="19">
      <c r="A19" s="28">
        <v>9957.0</v>
      </c>
      <c r="B19" s="29" t="s">
        <v>5384</v>
      </c>
      <c r="C19" s="29" t="s">
        <v>449</v>
      </c>
      <c r="D19" s="29" t="s">
        <v>5007</v>
      </c>
      <c r="E19" s="29" t="s">
        <v>5008</v>
      </c>
      <c r="F19" s="30"/>
      <c r="G19" s="29" t="s">
        <v>450</v>
      </c>
      <c r="H19" s="29" t="s">
        <v>5385</v>
      </c>
      <c r="I19" s="29" t="s">
        <v>45</v>
      </c>
      <c r="J19" s="30"/>
      <c r="K19" s="29" t="s">
        <v>5386</v>
      </c>
      <c r="L19" s="29" t="s">
        <v>5387</v>
      </c>
      <c r="M19" s="29" t="s">
        <v>5388</v>
      </c>
      <c r="N19" s="29"/>
      <c r="O19" s="29"/>
      <c r="P19" s="29" t="s">
        <v>5389</v>
      </c>
    </row>
    <row r="20">
      <c r="A20" s="28">
        <v>10238.0</v>
      </c>
      <c r="B20" s="29" t="s">
        <v>5080</v>
      </c>
      <c r="C20" s="29" t="s">
        <v>432</v>
      </c>
      <c r="D20" s="29" t="s">
        <v>5007</v>
      </c>
      <c r="E20" s="29" t="s">
        <v>5008</v>
      </c>
      <c r="F20" s="30"/>
      <c r="G20" s="29" t="s">
        <v>441</v>
      </c>
      <c r="H20" s="29" t="s">
        <v>5390</v>
      </c>
      <c r="I20" s="29" t="s">
        <v>144</v>
      </c>
      <c r="J20" s="30"/>
      <c r="K20" s="29" t="s">
        <v>5391</v>
      </c>
      <c r="L20" s="29" t="s">
        <v>5392</v>
      </c>
      <c r="M20" s="29" t="s">
        <v>5393</v>
      </c>
      <c r="N20" s="29"/>
      <c r="O20" s="29"/>
      <c r="P20" s="29" t="s">
        <v>5394</v>
      </c>
    </row>
    <row r="21">
      <c r="A21" s="28">
        <v>9746.0</v>
      </c>
      <c r="B21" s="29" t="s">
        <v>5395</v>
      </c>
      <c r="C21" s="29" t="s">
        <v>449</v>
      </c>
      <c r="D21" s="29" t="s">
        <v>5086</v>
      </c>
      <c r="E21" s="29" t="s">
        <v>5087</v>
      </c>
      <c r="F21" s="30"/>
      <c r="G21" s="29" t="s">
        <v>670</v>
      </c>
      <c r="H21" s="29" t="s">
        <v>5396</v>
      </c>
      <c r="I21" s="29" t="s">
        <v>45</v>
      </c>
      <c r="J21" s="30"/>
      <c r="K21" s="29" t="s">
        <v>5397</v>
      </c>
      <c r="L21" s="29" t="s">
        <v>1159</v>
      </c>
      <c r="M21" s="29" t="s">
        <v>5398</v>
      </c>
      <c r="N21" s="29"/>
      <c r="O21" s="29"/>
      <c r="P21" s="29" t="s">
        <v>5399</v>
      </c>
    </row>
    <row r="22">
      <c r="A22" s="28">
        <v>9748.0</v>
      </c>
      <c r="B22" s="29" t="s">
        <v>5097</v>
      </c>
      <c r="C22" s="29" t="s">
        <v>432</v>
      </c>
      <c r="D22" s="29" t="s">
        <v>5086</v>
      </c>
      <c r="E22" s="29" t="s">
        <v>5087</v>
      </c>
      <c r="F22" s="30"/>
      <c r="G22" s="29" t="s">
        <v>433</v>
      </c>
      <c r="H22" s="29" t="s">
        <v>5400</v>
      </c>
      <c r="I22" s="29" t="s">
        <v>435</v>
      </c>
      <c r="J22" s="30"/>
      <c r="K22" s="29" t="s">
        <v>5401</v>
      </c>
      <c r="L22" s="29" t="s">
        <v>5402</v>
      </c>
      <c r="M22" s="29" t="s">
        <v>5403</v>
      </c>
      <c r="N22" s="29"/>
      <c r="O22" s="29"/>
      <c r="P22" s="29" t="s">
        <v>5404</v>
      </c>
    </row>
    <row r="23">
      <c r="A23" s="28">
        <v>10170.0</v>
      </c>
      <c r="B23" s="29" t="s">
        <v>5405</v>
      </c>
      <c r="C23" s="29" t="s">
        <v>432</v>
      </c>
      <c r="D23" s="29" t="s">
        <v>5086</v>
      </c>
      <c r="E23" s="29" t="s">
        <v>5087</v>
      </c>
      <c r="F23" s="30"/>
      <c r="G23" s="29" t="s">
        <v>441</v>
      </c>
      <c r="H23" s="29" t="s">
        <v>469</v>
      </c>
      <c r="I23" s="29" t="s">
        <v>5406</v>
      </c>
      <c r="J23" s="30"/>
      <c r="K23" s="29" t="s">
        <v>5407</v>
      </c>
      <c r="L23" s="29" t="s">
        <v>1776</v>
      </c>
      <c r="M23" s="29" t="s">
        <v>5408</v>
      </c>
      <c r="N23" s="29"/>
      <c r="O23" s="29"/>
      <c r="P23" s="29" t="s">
        <v>5409</v>
      </c>
    </row>
    <row r="24">
      <c r="A24" s="28">
        <v>10383.0</v>
      </c>
      <c r="B24" s="29" t="s">
        <v>5410</v>
      </c>
      <c r="C24" s="29" t="s">
        <v>432</v>
      </c>
      <c r="D24" s="29" t="s">
        <v>5086</v>
      </c>
      <c r="E24" s="29" t="s">
        <v>5087</v>
      </c>
      <c r="F24" s="30"/>
      <c r="G24" s="29" t="s">
        <v>433</v>
      </c>
      <c r="H24" s="29" t="s">
        <v>434</v>
      </c>
      <c r="I24" s="29" t="s">
        <v>4245</v>
      </c>
      <c r="J24" s="30"/>
      <c r="K24" s="29" t="s">
        <v>5411</v>
      </c>
      <c r="L24" s="29" t="s">
        <v>5412</v>
      </c>
      <c r="M24" s="29" t="s">
        <v>5413</v>
      </c>
      <c r="N24" s="29"/>
      <c r="O24" s="29"/>
      <c r="P24" s="29" t="s">
        <v>5414</v>
      </c>
    </row>
    <row r="25">
      <c r="A25" s="28">
        <v>1783.0</v>
      </c>
      <c r="B25" s="29" t="s">
        <v>5415</v>
      </c>
      <c r="C25" s="29" t="s">
        <v>449</v>
      </c>
      <c r="D25" s="29" t="s">
        <v>5123</v>
      </c>
      <c r="E25" s="29" t="s">
        <v>5124</v>
      </c>
      <c r="F25" s="30"/>
      <c r="G25" s="29" t="s">
        <v>433</v>
      </c>
      <c r="H25" s="29" t="s">
        <v>434</v>
      </c>
      <c r="I25" s="29" t="s">
        <v>41</v>
      </c>
      <c r="J25" s="30"/>
      <c r="K25" s="29" t="s">
        <v>5416</v>
      </c>
      <c r="L25" s="29" t="s">
        <v>5417</v>
      </c>
      <c r="M25" s="29" t="s">
        <v>5418</v>
      </c>
      <c r="N25" s="29"/>
      <c r="O25" s="29"/>
      <c r="P25" s="29" t="s">
        <v>5419</v>
      </c>
    </row>
    <row r="26">
      <c r="A26" s="28">
        <v>10421.0</v>
      </c>
      <c r="B26" s="29" t="s">
        <v>5420</v>
      </c>
      <c r="C26" s="29" t="s">
        <v>432</v>
      </c>
      <c r="D26" s="29" t="s">
        <v>5131</v>
      </c>
      <c r="E26" s="29" t="s">
        <v>5132</v>
      </c>
      <c r="F26" s="30"/>
      <c r="G26" s="29" t="s">
        <v>433</v>
      </c>
      <c r="H26" s="29" t="s">
        <v>671</v>
      </c>
      <c r="I26" s="29" t="s">
        <v>18</v>
      </c>
      <c r="J26" s="30"/>
      <c r="K26" s="30"/>
      <c r="L26" s="29" t="s">
        <v>5421</v>
      </c>
      <c r="M26" s="29" t="s">
        <v>5422</v>
      </c>
      <c r="N26" s="29"/>
      <c r="O26" s="29"/>
      <c r="P26" s="29" t="s">
        <v>5423</v>
      </c>
    </row>
    <row r="27">
      <c r="A27" s="28">
        <v>1791.0</v>
      </c>
      <c r="B27" s="29" t="s">
        <v>5424</v>
      </c>
      <c r="C27" s="29" t="s">
        <v>449</v>
      </c>
      <c r="D27" s="29" t="s">
        <v>5141</v>
      </c>
      <c r="E27" s="29" t="s">
        <v>5142</v>
      </c>
      <c r="F27" s="30"/>
      <c r="G27" s="29" t="s">
        <v>610</v>
      </c>
      <c r="H27" s="29" t="s">
        <v>519</v>
      </c>
      <c r="I27" s="29" t="s">
        <v>41</v>
      </c>
      <c r="J27" s="30"/>
      <c r="K27" s="29" t="s">
        <v>450</v>
      </c>
      <c r="L27" s="29" t="s">
        <v>3120</v>
      </c>
      <c r="M27" s="29" t="s">
        <v>5425</v>
      </c>
      <c r="N27" s="29"/>
      <c r="O27" s="29"/>
      <c r="P27" s="29" t="s">
        <v>5426</v>
      </c>
    </row>
    <row r="28">
      <c r="A28" s="28">
        <v>1792.0</v>
      </c>
      <c r="B28" s="29" t="s">
        <v>5427</v>
      </c>
      <c r="C28" s="29" t="s">
        <v>432</v>
      </c>
      <c r="D28" s="29" t="s">
        <v>5141</v>
      </c>
      <c r="E28" s="29" t="s">
        <v>5142</v>
      </c>
      <c r="F28" s="30"/>
      <c r="G28" s="29" t="s">
        <v>450</v>
      </c>
      <c r="H28" s="29" t="s">
        <v>1157</v>
      </c>
      <c r="I28" s="29" t="s">
        <v>407</v>
      </c>
      <c r="J28" s="30"/>
      <c r="K28" s="29" t="s">
        <v>2527</v>
      </c>
      <c r="L28" s="29" t="s">
        <v>484</v>
      </c>
      <c r="M28" s="29" t="s">
        <v>5428</v>
      </c>
      <c r="N28" s="29"/>
      <c r="O28" s="29"/>
      <c r="P28" s="29" t="s">
        <v>5429</v>
      </c>
    </row>
    <row r="29">
      <c r="A29" s="28">
        <v>1793.0</v>
      </c>
      <c r="B29" s="29" t="s">
        <v>5430</v>
      </c>
      <c r="C29" s="29" t="s">
        <v>432</v>
      </c>
      <c r="D29" s="29" t="s">
        <v>5141</v>
      </c>
      <c r="E29" s="29" t="s">
        <v>5142</v>
      </c>
      <c r="F29" s="30"/>
      <c r="G29" s="29" t="s">
        <v>433</v>
      </c>
      <c r="H29" s="29" t="s">
        <v>434</v>
      </c>
      <c r="I29" s="29" t="s">
        <v>144</v>
      </c>
      <c r="J29" s="30"/>
      <c r="K29" s="29" t="s">
        <v>5431</v>
      </c>
      <c r="L29" s="29" t="s">
        <v>5432</v>
      </c>
      <c r="M29" s="29" t="s">
        <v>5433</v>
      </c>
      <c r="N29" s="29"/>
      <c r="O29" s="29"/>
      <c r="P29" s="29" t="s">
        <v>5434</v>
      </c>
    </row>
    <row r="30">
      <c r="A30" s="28">
        <v>1794.0</v>
      </c>
      <c r="B30" s="29" t="s">
        <v>5435</v>
      </c>
      <c r="C30" s="29" t="s">
        <v>432</v>
      </c>
      <c r="D30" s="29" t="s">
        <v>5141</v>
      </c>
      <c r="E30" s="29" t="s">
        <v>5142</v>
      </c>
      <c r="F30" s="30"/>
      <c r="G30" s="29" t="s">
        <v>441</v>
      </c>
      <c r="H30" s="29" t="s">
        <v>5436</v>
      </c>
      <c r="I30" s="29" t="s">
        <v>850</v>
      </c>
      <c r="J30" s="30"/>
      <c r="K30" s="29" t="s">
        <v>5437</v>
      </c>
      <c r="L30" s="29" t="s">
        <v>465</v>
      </c>
      <c r="M30" s="29" t="s">
        <v>5438</v>
      </c>
      <c r="N30" s="29"/>
      <c r="O30" s="29"/>
      <c r="P30" s="29" t="s">
        <v>5439</v>
      </c>
    </row>
    <row r="31">
      <c r="A31" s="28">
        <v>1798.0</v>
      </c>
      <c r="B31" s="29" t="s">
        <v>5440</v>
      </c>
      <c r="C31" s="29" t="s">
        <v>449</v>
      </c>
      <c r="D31" s="29" t="s">
        <v>5141</v>
      </c>
      <c r="E31" s="29" t="s">
        <v>5142</v>
      </c>
      <c r="F31" s="30"/>
      <c r="G31" s="29" t="s">
        <v>441</v>
      </c>
      <c r="H31" s="29" t="s">
        <v>434</v>
      </c>
      <c r="I31" s="29" t="s">
        <v>41</v>
      </c>
      <c r="J31" s="30"/>
      <c r="K31" s="29" t="s">
        <v>493</v>
      </c>
      <c r="L31" s="29" t="s">
        <v>5441</v>
      </c>
      <c r="M31" s="29" t="s">
        <v>5442</v>
      </c>
      <c r="N31" s="29"/>
      <c r="O31" s="29"/>
      <c r="P31" s="29" t="s">
        <v>5443</v>
      </c>
    </row>
    <row r="32">
      <c r="A32" s="28">
        <v>1799.0</v>
      </c>
      <c r="B32" s="29" t="s">
        <v>5444</v>
      </c>
      <c r="C32" s="29" t="s">
        <v>432</v>
      </c>
      <c r="D32" s="29" t="s">
        <v>5141</v>
      </c>
      <c r="E32" s="29" t="s">
        <v>5142</v>
      </c>
      <c r="F32" s="30"/>
      <c r="G32" s="29" t="s">
        <v>450</v>
      </c>
      <c r="H32" s="29" t="s">
        <v>5445</v>
      </c>
      <c r="I32" s="29" t="s">
        <v>850</v>
      </c>
      <c r="J32" s="30"/>
      <c r="K32" s="29" t="s">
        <v>649</v>
      </c>
      <c r="L32" s="29" t="s">
        <v>465</v>
      </c>
      <c r="M32" s="29" t="s">
        <v>5446</v>
      </c>
      <c r="N32" s="29"/>
      <c r="O32" s="29"/>
      <c r="P32" s="29" t="s">
        <v>5447</v>
      </c>
    </row>
    <row r="33">
      <c r="A33" s="28">
        <v>1803.0</v>
      </c>
      <c r="B33" s="29" t="s">
        <v>5448</v>
      </c>
      <c r="C33" s="29" t="s">
        <v>432</v>
      </c>
      <c r="D33" s="29" t="s">
        <v>5141</v>
      </c>
      <c r="E33" s="29" t="s">
        <v>5142</v>
      </c>
      <c r="F33" s="30"/>
      <c r="G33" s="29" t="s">
        <v>441</v>
      </c>
      <c r="H33" s="29" t="s">
        <v>634</v>
      </c>
      <c r="I33" s="29" t="s">
        <v>850</v>
      </c>
      <c r="J33" s="30"/>
      <c r="K33" s="29" t="s">
        <v>3026</v>
      </c>
      <c r="L33" s="29" t="s">
        <v>522</v>
      </c>
      <c r="M33" s="29" t="s">
        <v>5449</v>
      </c>
      <c r="N33" s="29"/>
      <c r="O33" s="29"/>
      <c r="P33" s="29" t="s">
        <v>5450</v>
      </c>
    </row>
    <row r="34">
      <c r="A34" s="28">
        <v>8277.0</v>
      </c>
      <c r="B34" s="29" t="s">
        <v>5451</v>
      </c>
      <c r="C34" s="29" t="s">
        <v>432</v>
      </c>
      <c r="D34" s="29" t="s">
        <v>5141</v>
      </c>
      <c r="E34" s="29" t="s">
        <v>5142</v>
      </c>
      <c r="F34" s="30"/>
      <c r="G34" s="29" t="s">
        <v>441</v>
      </c>
      <c r="H34" s="29" t="s">
        <v>592</v>
      </c>
      <c r="I34" s="29" t="s">
        <v>407</v>
      </c>
      <c r="J34" s="30"/>
      <c r="K34" s="29" t="s">
        <v>643</v>
      </c>
      <c r="L34" s="29" t="s">
        <v>489</v>
      </c>
      <c r="M34" s="29" t="s">
        <v>5452</v>
      </c>
      <c r="N34" s="29"/>
      <c r="O34" s="29"/>
      <c r="P34" s="29" t="s">
        <v>5453</v>
      </c>
    </row>
    <row r="35">
      <c r="A35" s="28">
        <v>9697.0</v>
      </c>
      <c r="B35" s="29" t="s">
        <v>5454</v>
      </c>
      <c r="C35" s="29" t="s">
        <v>432</v>
      </c>
      <c r="D35" s="29" t="s">
        <v>5141</v>
      </c>
      <c r="E35" s="29" t="s">
        <v>5142</v>
      </c>
      <c r="F35" s="30"/>
      <c r="G35" s="29" t="s">
        <v>433</v>
      </c>
      <c r="H35" s="29" t="s">
        <v>5455</v>
      </c>
      <c r="I35" s="29" t="s">
        <v>3524</v>
      </c>
      <c r="J35" s="29" t="s">
        <v>5456</v>
      </c>
      <c r="K35" s="29" t="s">
        <v>5457</v>
      </c>
      <c r="L35" s="29" t="s">
        <v>5458</v>
      </c>
      <c r="M35" s="29" t="s">
        <v>5459</v>
      </c>
      <c r="N35" s="29"/>
      <c r="O35" s="29"/>
      <c r="P35" s="29" t="s">
        <v>5460</v>
      </c>
    </row>
    <row r="36">
      <c r="A36" s="28">
        <v>10072.0</v>
      </c>
      <c r="B36" s="29" t="s">
        <v>5461</v>
      </c>
      <c r="C36" s="29" t="s">
        <v>432</v>
      </c>
      <c r="D36" s="29" t="s">
        <v>5141</v>
      </c>
      <c r="E36" s="29" t="s">
        <v>5142</v>
      </c>
      <c r="F36" s="30"/>
      <c r="G36" s="29" t="s">
        <v>3123</v>
      </c>
      <c r="H36" s="29" t="s">
        <v>434</v>
      </c>
      <c r="I36" s="29" t="s">
        <v>368</v>
      </c>
      <c r="J36" s="30"/>
      <c r="K36" s="29" t="s">
        <v>5462</v>
      </c>
      <c r="L36" s="29" t="s">
        <v>511</v>
      </c>
      <c r="M36" s="29" t="s">
        <v>5463</v>
      </c>
      <c r="N36" s="29"/>
      <c r="O36" s="29"/>
      <c r="P36" s="29" t="s">
        <v>5464</v>
      </c>
    </row>
    <row r="37">
      <c r="A37" s="28">
        <v>4845.0</v>
      </c>
      <c r="B37" s="29" t="s">
        <v>5465</v>
      </c>
      <c r="C37" s="29" t="s">
        <v>432</v>
      </c>
      <c r="D37" s="29" t="s">
        <v>5230</v>
      </c>
      <c r="E37" s="29" t="s">
        <v>5231</v>
      </c>
      <c r="F37" s="30"/>
      <c r="G37" s="29" t="s">
        <v>433</v>
      </c>
      <c r="H37" s="29" t="s">
        <v>434</v>
      </c>
      <c r="I37" s="29" t="s">
        <v>407</v>
      </c>
      <c r="J37" s="30"/>
      <c r="K37" s="29" t="s">
        <v>653</v>
      </c>
      <c r="L37" s="29" t="s">
        <v>4151</v>
      </c>
      <c r="M37" s="29" t="s">
        <v>5466</v>
      </c>
      <c r="N37" s="29"/>
      <c r="O37" s="29"/>
      <c r="P37" s="29" t="s">
        <v>5467</v>
      </c>
    </row>
    <row r="38">
      <c r="A38" s="28">
        <v>8530.0</v>
      </c>
      <c r="B38" s="29" t="s">
        <v>5468</v>
      </c>
      <c r="C38" s="29" t="s">
        <v>432</v>
      </c>
      <c r="D38" s="29" t="s">
        <v>3898</v>
      </c>
      <c r="E38" s="29" t="s">
        <v>3899</v>
      </c>
      <c r="F38" s="30"/>
      <c r="G38" s="29" t="s">
        <v>433</v>
      </c>
      <c r="H38" s="29" t="s">
        <v>634</v>
      </c>
      <c r="I38" s="29" t="s">
        <v>144</v>
      </c>
      <c r="J38" s="30"/>
      <c r="K38" s="29" t="s">
        <v>5469</v>
      </c>
      <c r="L38" s="29" t="s">
        <v>4856</v>
      </c>
      <c r="M38" s="29" t="s">
        <v>5470</v>
      </c>
      <c r="N38" s="29"/>
      <c r="O38" s="29"/>
      <c r="P38" s="29" t="s">
        <v>5471</v>
      </c>
    </row>
    <row r="39">
      <c r="A39" s="28">
        <v>8597.0</v>
      </c>
      <c r="B39" s="29" t="s">
        <v>5472</v>
      </c>
      <c r="C39" s="29" t="s">
        <v>432</v>
      </c>
      <c r="D39" s="29" t="s">
        <v>1037</v>
      </c>
      <c r="E39" s="29" t="s">
        <v>1038</v>
      </c>
      <c r="F39" s="30"/>
      <c r="G39" s="29" t="s">
        <v>441</v>
      </c>
      <c r="H39" s="30"/>
      <c r="I39" s="29" t="s">
        <v>435</v>
      </c>
      <c r="J39" s="30"/>
      <c r="K39" s="29" t="s">
        <v>537</v>
      </c>
      <c r="L39" s="29" t="s">
        <v>489</v>
      </c>
      <c r="M39" s="29" t="s">
        <v>5473</v>
      </c>
      <c r="N39" s="29"/>
      <c r="O39" s="29"/>
      <c r="P39" s="29" t="s">
        <v>5474</v>
      </c>
    </row>
    <row r="40">
      <c r="A40" s="28">
        <v>8598.0</v>
      </c>
      <c r="B40" s="29" t="s">
        <v>5475</v>
      </c>
      <c r="C40" s="29" t="s">
        <v>449</v>
      </c>
      <c r="D40" s="29" t="s">
        <v>1037</v>
      </c>
      <c r="E40" s="29" t="s">
        <v>1038</v>
      </c>
      <c r="F40" s="30"/>
      <c r="G40" s="29" t="s">
        <v>441</v>
      </c>
      <c r="H40" s="29" t="s">
        <v>3036</v>
      </c>
      <c r="I40" s="29" t="s">
        <v>41</v>
      </c>
      <c r="J40" s="30"/>
      <c r="K40" s="29" t="s">
        <v>527</v>
      </c>
      <c r="L40" s="29" t="s">
        <v>5476</v>
      </c>
      <c r="M40" s="29" t="s">
        <v>5477</v>
      </c>
      <c r="N40" s="29"/>
      <c r="O40" s="29"/>
      <c r="P40" s="29" t="s">
        <v>5478</v>
      </c>
    </row>
    <row r="41">
      <c r="A41" s="28">
        <v>8548.0</v>
      </c>
      <c r="B41" s="29" t="s">
        <v>5479</v>
      </c>
      <c r="C41" s="29" t="s">
        <v>432</v>
      </c>
      <c r="D41" s="29" t="s">
        <v>2073</v>
      </c>
      <c r="E41" s="29" t="s">
        <v>2074</v>
      </c>
      <c r="F41" s="30"/>
      <c r="G41" s="29" t="s">
        <v>441</v>
      </c>
      <c r="H41" s="29" t="s">
        <v>434</v>
      </c>
      <c r="I41" s="29" t="s">
        <v>144</v>
      </c>
      <c r="J41" s="30"/>
      <c r="K41" s="29" t="s">
        <v>476</v>
      </c>
      <c r="L41" s="29" t="s">
        <v>5480</v>
      </c>
      <c r="M41" s="29" t="s">
        <v>5481</v>
      </c>
      <c r="N41" s="29"/>
      <c r="O41" s="29"/>
      <c r="P41" s="29" t="s">
        <v>5482</v>
      </c>
    </row>
    <row r="42">
      <c r="A42" s="28">
        <v>8620.0</v>
      </c>
      <c r="B42" s="29" t="s">
        <v>5483</v>
      </c>
      <c r="C42" s="29" t="s">
        <v>449</v>
      </c>
      <c r="D42" s="29" t="s">
        <v>2205</v>
      </c>
      <c r="E42" s="29" t="s">
        <v>2206</v>
      </c>
      <c r="F42" s="30"/>
      <c r="G42" s="29" t="s">
        <v>441</v>
      </c>
      <c r="H42" s="29" t="s">
        <v>434</v>
      </c>
      <c r="I42" s="29" t="s">
        <v>41</v>
      </c>
      <c r="J42" s="30"/>
      <c r="K42" s="29" t="s">
        <v>659</v>
      </c>
      <c r="L42" s="29" t="s">
        <v>459</v>
      </c>
      <c r="M42" s="29" t="s">
        <v>5484</v>
      </c>
      <c r="N42" s="29"/>
      <c r="O42" s="29"/>
      <c r="P42" s="29" t="s">
        <v>5485</v>
      </c>
    </row>
    <row r="43">
      <c r="A43" s="28">
        <v>8581.0</v>
      </c>
      <c r="B43" s="29" t="s">
        <v>5486</v>
      </c>
      <c r="C43" s="29" t="s">
        <v>449</v>
      </c>
      <c r="D43" s="29" t="s">
        <v>2237</v>
      </c>
      <c r="E43" s="29" t="s">
        <v>2238</v>
      </c>
      <c r="F43" s="30"/>
      <c r="G43" s="29" t="s">
        <v>433</v>
      </c>
      <c r="H43" s="30"/>
      <c r="I43" s="29" t="s">
        <v>41</v>
      </c>
      <c r="J43" s="30"/>
      <c r="K43" s="29" t="s">
        <v>547</v>
      </c>
      <c r="L43" s="29" t="s">
        <v>511</v>
      </c>
      <c r="M43" s="29" t="s">
        <v>2409</v>
      </c>
      <c r="N43" s="29"/>
      <c r="O43" s="29"/>
      <c r="P43" s="29" t="s">
        <v>5487</v>
      </c>
    </row>
    <row r="44">
      <c r="A44" s="28">
        <v>8624.0</v>
      </c>
      <c r="B44" s="29" t="s">
        <v>5269</v>
      </c>
      <c r="C44" s="29" t="s">
        <v>432</v>
      </c>
      <c r="D44" s="29" t="s">
        <v>3150</v>
      </c>
      <c r="E44" s="29" t="s">
        <v>3151</v>
      </c>
      <c r="F44" s="30"/>
      <c r="G44" s="29" t="s">
        <v>441</v>
      </c>
      <c r="H44" s="29" t="s">
        <v>434</v>
      </c>
      <c r="I44" s="29" t="s">
        <v>407</v>
      </c>
      <c r="J44" s="30"/>
      <c r="K44" s="29" t="s">
        <v>537</v>
      </c>
      <c r="L44" s="29" t="s">
        <v>489</v>
      </c>
      <c r="M44" s="29" t="s">
        <v>5488</v>
      </c>
      <c r="N44" s="29"/>
      <c r="O44" s="29"/>
      <c r="P44" s="29" t="s">
        <v>5489</v>
      </c>
    </row>
    <row r="45">
      <c r="A45" s="28">
        <v>8579.0</v>
      </c>
      <c r="B45" s="29" t="s">
        <v>5490</v>
      </c>
      <c r="C45" s="29" t="s">
        <v>432</v>
      </c>
      <c r="D45" s="29" t="s">
        <v>2642</v>
      </c>
      <c r="E45" s="29" t="s">
        <v>2643</v>
      </c>
      <c r="F45" s="29" t="s">
        <v>441</v>
      </c>
      <c r="G45" s="29" t="s">
        <v>441</v>
      </c>
      <c r="H45" s="29" t="s">
        <v>434</v>
      </c>
      <c r="I45" s="29" t="s">
        <v>2963</v>
      </c>
      <c r="J45" s="30"/>
      <c r="K45" s="29" t="s">
        <v>547</v>
      </c>
      <c r="L45" s="30"/>
      <c r="M45" s="29" t="s">
        <v>5491</v>
      </c>
      <c r="N45" s="29"/>
      <c r="O45" s="29"/>
      <c r="P45" s="29" t="s">
        <v>5492</v>
      </c>
    </row>
    <row r="46">
      <c r="A46" s="28">
        <v>8580.0</v>
      </c>
      <c r="B46" s="29" t="s">
        <v>5493</v>
      </c>
      <c r="C46" s="29" t="s">
        <v>449</v>
      </c>
      <c r="D46" s="29" t="s">
        <v>5279</v>
      </c>
      <c r="E46" s="29" t="s">
        <v>5280</v>
      </c>
      <c r="F46" s="30"/>
      <c r="G46" s="29" t="s">
        <v>450</v>
      </c>
      <c r="H46" s="30"/>
      <c r="I46" s="29" t="s">
        <v>41</v>
      </c>
      <c r="J46" s="30"/>
      <c r="K46" s="29" t="s">
        <v>2527</v>
      </c>
      <c r="L46" s="30"/>
      <c r="M46" s="29" t="s">
        <v>5494</v>
      </c>
      <c r="N46" s="29"/>
      <c r="O46" s="29"/>
      <c r="P46" s="29" t="s">
        <v>5495</v>
      </c>
    </row>
    <row r="47">
      <c r="A47" s="28">
        <v>8572.0</v>
      </c>
      <c r="B47" s="29" t="s">
        <v>5496</v>
      </c>
      <c r="C47" s="29" t="s">
        <v>432</v>
      </c>
      <c r="D47" s="29" t="s">
        <v>5287</v>
      </c>
      <c r="E47" s="29" t="s">
        <v>5288</v>
      </c>
      <c r="F47" s="30"/>
      <c r="G47" s="29" t="s">
        <v>433</v>
      </c>
      <c r="H47" s="29" t="s">
        <v>1105</v>
      </c>
      <c r="I47" s="29" t="s">
        <v>435</v>
      </c>
      <c r="J47" s="30"/>
      <c r="K47" s="29" t="s">
        <v>547</v>
      </c>
      <c r="L47" s="29" t="s">
        <v>511</v>
      </c>
      <c r="M47" s="29" t="s">
        <v>5497</v>
      </c>
      <c r="N47" s="29"/>
      <c r="O47" s="29"/>
      <c r="P47" s="29" t="s">
        <v>5498</v>
      </c>
    </row>
    <row r="48">
      <c r="A48" s="28">
        <v>8575.0</v>
      </c>
      <c r="B48" s="29" t="s">
        <v>5499</v>
      </c>
      <c r="C48" s="29" t="s">
        <v>432</v>
      </c>
      <c r="D48" s="29" t="s">
        <v>5287</v>
      </c>
      <c r="E48" s="29" t="s">
        <v>5288</v>
      </c>
      <c r="F48" s="30"/>
      <c r="G48" s="29" t="s">
        <v>433</v>
      </c>
      <c r="H48" s="29" t="s">
        <v>1105</v>
      </c>
      <c r="I48" s="29" t="s">
        <v>435</v>
      </c>
      <c r="J48" s="30"/>
      <c r="K48" s="29" t="s">
        <v>547</v>
      </c>
      <c r="L48" s="29" t="s">
        <v>511</v>
      </c>
      <c r="M48" s="29" t="s">
        <v>5500</v>
      </c>
      <c r="N48" s="29"/>
      <c r="O48" s="29"/>
      <c r="P48" s="29" t="s">
        <v>5501</v>
      </c>
    </row>
    <row r="49">
      <c r="A49" s="28">
        <v>8615.0</v>
      </c>
      <c r="B49" s="29" t="s">
        <v>5311</v>
      </c>
      <c r="C49" s="29" t="s">
        <v>449</v>
      </c>
      <c r="D49" s="29" t="s">
        <v>5307</v>
      </c>
      <c r="E49" s="29" t="s">
        <v>5308</v>
      </c>
      <c r="F49" s="30"/>
      <c r="G49" s="29" t="s">
        <v>441</v>
      </c>
      <c r="H49" s="29" t="s">
        <v>474</v>
      </c>
      <c r="I49" s="29" t="s">
        <v>41</v>
      </c>
      <c r="J49" s="30"/>
      <c r="K49" s="29" t="s">
        <v>1141</v>
      </c>
      <c r="L49" s="29" t="s">
        <v>489</v>
      </c>
      <c r="M49" s="29" t="s">
        <v>5502</v>
      </c>
      <c r="N49" s="29"/>
      <c r="O49" s="29"/>
      <c r="P49" s="29" t="s">
        <v>5503</v>
      </c>
    </row>
    <row r="50">
      <c r="A50" s="28">
        <v>8606.0</v>
      </c>
      <c r="B50" s="29" t="s">
        <v>5504</v>
      </c>
      <c r="C50" s="29" t="s">
        <v>432</v>
      </c>
      <c r="D50" s="29" t="s">
        <v>5314</v>
      </c>
      <c r="E50" s="29" t="s">
        <v>5315</v>
      </c>
      <c r="F50" s="30"/>
      <c r="G50" s="29" t="s">
        <v>433</v>
      </c>
      <c r="H50" s="29" t="s">
        <v>5505</v>
      </c>
      <c r="I50" s="29" t="s">
        <v>217</v>
      </c>
      <c r="J50" s="30"/>
      <c r="K50" s="29" t="s">
        <v>5416</v>
      </c>
      <c r="L50" s="29" t="s">
        <v>5506</v>
      </c>
      <c r="M50" s="29" t="s">
        <v>5507</v>
      </c>
      <c r="N50" s="29"/>
      <c r="O50" s="29"/>
      <c r="P50" s="29" t="s">
        <v>5508</v>
      </c>
    </row>
    <row r="51">
      <c r="A51" s="138"/>
      <c r="B51" s="138"/>
      <c r="C51" s="138"/>
      <c r="D51" s="138"/>
      <c r="E51" s="138"/>
      <c r="F51" s="138"/>
      <c r="G51" s="138"/>
      <c r="H51" s="138"/>
      <c r="I51" s="138"/>
      <c r="J51" s="138"/>
      <c r="K51" s="138"/>
      <c r="L51" s="138"/>
      <c r="M51" s="138"/>
      <c r="N51" s="138"/>
      <c r="O51" s="138"/>
      <c r="P51" s="138"/>
    </row>
    <row r="52">
      <c r="A52" s="138"/>
      <c r="B52" s="138"/>
      <c r="C52" s="138"/>
      <c r="D52" s="138"/>
      <c r="E52" s="138"/>
      <c r="F52" s="138"/>
      <c r="G52" s="138"/>
      <c r="H52" s="138"/>
      <c r="I52" s="138"/>
      <c r="J52" s="138"/>
      <c r="K52" s="138"/>
      <c r="L52" s="138"/>
      <c r="M52" s="138"/>
      <c r="N52" s="138"/>
      <c r="O52" s="138"/>
      <c r="P52" s="138"/>
    </row>
    <row r="53">
      <c r="A53" s="138"/>
      <c r="B53" s="138"/>
      <c r="C53" s="138"/>
      <c r="D53" s="138"/>
      <c r="E53" s="138"/>
      <c r="F53" s="138"/>
      <c r="G53" s="138"/>
      <c r="H53" s="138"/>
      <c r="I53" s="138"/>
      <c r="J53" s="138"/>
      <c r="K53" s="138"/>
      <c r="L53" s="138"/>
      <c r="M53" s="138"/>
      <c r="N53" s="138"/>
      <c r="O53" s="138"/>
      <c r="P53" s="138"/>
    </row>
    <row r="54">
      <c r="A54" s="138"/>
      <c r="B54" s="138"/>
      <c r="C54" s="138"/>
      <c r="D54" s="138"/>
      <c r="E54" s="138"/>
      <c r="F54" s="138"/>
      <c r="G54" s="138"/>
      <c r="H54" s="138"/>
      <c r="I54" s="138"/>
      <c r="J54" s="138"/>
      <c r="K54" s="138"/>
      <c r="L54" s="138"/>
      <c r="M54" s="138"/>
      <c r="N54" s="138"/>
      <c r="O54" s="138"/>
      <c r="P54" s="138"/>
    </row>
    <row r="55">
      <c r="A55" s="138"/>
      <c r="B55" s="138"/>
      <c r="C55" s="138"/>
      <c r="D55" s="138"/>
      <c r="E55" s="138"/>
      <c r="F55" s="138"/>
      <c r="G55" s="138"/>
      <c r="H55" s="138"/>
      <c r="I55" s="138"/>
      <c r="J55" s="138"/>
      <c r="K55" s="138"/>
      <c r="L55" s="138"/>
      <c r="M55" s="138"/>
      <c r="N55" s="138"/>
      <c r="O55" s="138"/>
      <c r="P55" s="138"/>
    </row>
    <row r="56">
      <c r="A56" s="138"/>
      <c r="B56" s="138"/>
      <c r="C56" s="138"/>
      <c r="D56" s="138"/>
      <c r="E56" s="138"/>
      <c r="F56" s="138"/>
      <c r="G56" s="138"/>
      <c r="H56" s="138"/>
      <c r="I56" s="138"/>
      <c r="J56" s="138"/>
      <c r="K56" s="138"/>
      <c r="L56" s="138"/>
      <c r="M56" s="138"/>
      <c r="N56" s="138"/>
      <c r="O56" s="138"/>
      <c r="P56" s="138"/>
    </row>
    <row r="57">
      <c r="A57" s="138"/>
      <c r="B57" s="138"/>
      <c r="C57" s="138"/>
      <c r="D57" s="138"/>
      <c r="E57" s="138"/>
      <c r="F57" s="138"/>
      <c r="G57" s="138"/>
      <c r="H57" s="138"/>
      <c r="I57" s="138"/>
      <c r="J57" s="138"/>
      <c r="K57" s="138"/>
      <c r="L57" s="138"/>
      <c r="M57" s="138"/>
      <c r="N57" s="138"/>
      <c r="O57" s="138"/>
      <c r="P57" s="138"/>
    </row>
    <row r="58">
      <c r="A58" s="138"/>
      <c r="B58" s="138"/>
      <c r="C58" s="138"/>
      <c r="D58" s="138"/>
      <c r="E58" s="138"/>
      <c r="F58" s="138"/>
      <c r="G58" s="138"/>
      <c r="H58" s="138"/>
      <c r="I58" s="138"/>
      <c r="J58" s="138"/>
      <c r="K58" s="138"/>
      <c r="L58" s="138"/>
      <c r="M58" s="138"/>
      <c r="N58" s="138"/>
      <c r="O58" s="138"/>
      <c r="P58" s="138"/>
    </row>
    <row r="59">
      <c r="A59" s="138"/>
      <c r="B59" s="138"/>
      <c r="C59" s="138"/>
      <c r="D59" s="138"/>
      <c r="E59" s="138"/>
      <c r="F59" s="138"/>
      <c r="G59" s="138"/>
      <c r="H59" s="138"/>
      <c r="I59" s="138"/>
      <c r="J59" s="138"/>
      <c r="K59" s="138"/>
      <c r="L59" s="138"/>
      <c r="M59" s="138"/>
      <c r="N59" s="138"/>
      <c r="O59" s="138"/>
      <c r="P59" s="138"/>
    </row>
    <row r="60">
      <c r="A60" s="138"/>
      <c r="B60" s="138"/>
      <c r="C60" s="138"/>
      <c r="D60" s="138"/>
      <c r="E60" s="138"/>
      <c r="F60" s="138"/>
      <c r="G60" s="138"/>
      <c r="H60" s="138"/>
      <c r="I60" s="138"/>
      <c r="J60" s="138"/>
      <c r="K60" s="138"/>
      <c r="L60" s="138"/>
      <c r="M60" s="138"/>
      <c r="N60" s="138"/>
      <c r="O60" s="138"/>
      <c r="P60" s="138"/>
    </row>
    <row r="61">
      <c r="A61" s="138"/>
      <c r="B61" s="138"/>
      <c r="C61" s="138"/>
      <c r="D61" s="138"/>
      <c r="E61" s="138"/>
      <c r="F61" s="138"/>
      <c r="G61" s="138"/>
      <c r="H61" s="138"/>
      <c r="I61" s="138"/>
      <c r="J61" s="138"/>
      <c r="K61" s="138"/>
      <c r="L61" s="138"/>
      <c r="M61" s="138"/>
      <c r="N61" s="138"/>
      <c r="O61" s="138"/>
      <c r="P61" s="138"/>
    </row>
    <row r="62">
      <c r="A62" s="138"/>
      <c r="B62" s="138"/>
      <c r="C62" s="138"/>
      <c r="D62" s="138"/>
      <c r="E62" s="138"/>
      <c r="F62" s="138"/>
      <c r="G62" s="138"/>
      <c r="H62" s="138"/>
      <c r="I62" s="138"/>
      <c r="J62" s="138"/>
      <c r="K62" s="138"/>
      <c r="L62" s="138"/>
      <c r="M62" s="138"/>
      <c r="N62" s="138"/>
      <c r="O62" s="138"/>
      <c r="P62" s="138"/>
    </row>
    <row r="63">
      <c r="A63" s="138"/>
      <c r="B63" s="138"/>
      <c r="C63" s="138"/>
      <c r="D63" s="138"/>
      <c r="E63" s="138"/>
      <c r="F63" s="138"/>
      <c r="G63" s="138"/>
      <c r="H63" s="138"/>
      <c r="I63" s="138"/>
      <c r="J63" s="138"/>
      <c r="K63" s="138"/>
      <c r="L63" s="138"/>
      <c r="M63" s="138"/>
      <c r="N63" s="138"/>
      <c r="O63" s="138"/>
      <c r="P63" s="138"/>
    </row>
    <row r="64">
      <c r="A64" s="138"/>
      <c r="B64" s="138"/>
      <c r="C64" s="138"/>
      <c r="D64" s="138"/>
      <c r="E64" s="138"/>
      <c r="F64" s="138"/>
      <c r="G64" s="138"/>
      <c r="H64" s="138"/>
      <c r="I64" s="138"/>
      <c r="J64" s="138"/>
      <c r="K64" s="138"/>
      <c r="L64" s="138"/>
      <c r="M64" s="138"/>
      <c r="N64" s="138"/>
      <c r="O64" s="138"/>
      <c r="P64" s="138"/>
    </row>
    <row r="65">
      <c r="A65" s="138"/>
      <c r="B65" s="138"/>
      <c r="C65" s="138"/>
      <c r="D65" s="138"/>
      <c r="E65" s="138"/>
      <c r="F65" s="138"/>
      <c r="G65" s="138"/>
      <c r="H65" s="138"/>
      <c r="I65" s="138"/>
      <c r="J65" s="138"/>
      <c r="K65" s="138"/>
      <c r="L65" s="138"/>
      <c r="M65" s="138"/>
      <c r="N65" s="138"/>
      <c r="O65" s="138"/>
      <c r="P65" s="138"/>
    </row>
    <row r="66">
      <c r="A66" s="138"/>
      <c r="B66" s="138"/>
      <c r="C66" s="138"/>
      <c r="D66" s="138"/>
      <c r="E66" s="138"/>
      <c r="F66" s="138"/>
      <c r="G66" s="138"/>
      <c r="H66" s="138"/>
      <c r="I66" s="138"/>
      <c r="J66" s="138"/>
      <c r="K66" s="138"/>
      <c r="L66" s="138"/>
      <c r="M66" s="138"/>
      <c r="N66" s="138"/>
      <c r="O66" s="138"/>
      <c r="P66" s="138"/>
    </row>
    <row r="67">
      <c r="A67" s="138"/>
      <c r="B67" s="138"/>
      <c r="C67" s="138"/>
      <c r="D67" s="138"/>
      <c r="E67" s="138"/>
      <c r="F67" s="138"/>
      <c r="G67" s="138"/>
      <c r="H67" s="138"/>
      <c r="I67" s="138"/>
      <c r="J67" s="138"/>
      <c r="K67" s="138"/>
      <c r="L67" s="138"/>
      <c r="M67" s="138"/>
      <c r="N67" s="138"/>
      <c r="O67" s="138"/>
      <c r="P67" s="138"/>
    </row>
    <row r="68">
      <c r="A68" s="138"/>
      <c r="B68" s="138"/>
      <c r="C68" s="138"/>
      <c r="D68" s="138"/>
      <c r="E68" s="138"/>
      <c r="F68" s="138"/>
      <c r="G68" s="138"/>
      <c r="H68" s="138"/>
      <c r="I68" s="138"/>
      <c r="J68" s="138"/>
      <c r="K68" s="138"/>
      <c r="L68" s="138"/>
      <c r="M68" s="138"/>
      <c r="N68" s="138"/>
      <c r="O68" s="138"/>
      <c r="P68" s="138"/>
    </row>
    <row r="69">
      <c r="A69" s="138"/>
      <c r="B69" s="138"/>
      <c r="C69" s="138"/>
      <c r="D69" s="138"/>
      <c r="E69" s="138"/>
      <c r="F69" s="138"/>
      <c r="G69" s="138"/>
      <c r="H69" s="138"/>
      <c r="I69" s="138"/>
      <c r="J69" s="138"/>
      <c r="K69" s="138"/>
      <c r="L69" s="138"/>
      <c r="M69" s="138"/>
      <c r="N69" s="138"/>
      <c r="O69" s="138"/>
      <c r="P69" s="138"/>
    </row>
    <row r="70">
      <c r="A70" s="138"/>
      <c r="B70" s="138"/>
      <c r="C70" s="138"/>
      <c r="D70" s="138"/>
      <c r="E70" s="138"/>
      <c r="F70" s="138"/>
      <c r="G70" s="138"/>
      <c r="H70" s="138"/>
      <c r="I70" s="138"/>
      <c r="J70" s="138"/>
      <c r="K70" s="138"/>
      <c r="L70" s="138"/>
      <c r="M70" s="138"/>
      <c r="N70" s="138"/>
      <c r="O70" s="138"/>
      <c r="P70" s="138"/>
    </row>
    <row r="71">
      <c r="A71" s="138"/>
      <c r="B71" s="138"/>
      <c r="C71" s="138"/>
      <c r="D71" s="138"/>
      <c r="E71" s="138"/>
      <c r="F71" s="138"/>
      <c r="G71" s="138"/>
      <c r="H71" s="138"/>
      <c r="I71" s="138"/>
      <c r="J71" s="138"/>
      <c r="K71" s="138"/>
      <c r="L71" s="138"/>
      <c r="M71" s="138"/>
      <c r="N71" s="138"/>
      <c r="O71" s="138"/>
      <c r="P71" s="138"/>
    </row>
    <row r="72">
      <c r="A72" s="138"/>
      <c r="B72" s="138"/>
      <c r="C72" s="138"/>
      <c r="D72" s="138"/>
      <c r="E72" s="138"/>
      <c r="F72" s="138"/>
      <c r="G72" s="138"/>
      <c r="H72" s="138"/>
      <c r="I72" s="138"/>
      <c r="J72" s="138"/>
      <c r="K72" s="138"/>
      <c r="L72" s="138"/>
      <c r="M72" s="138"/>
      <c r="N72" s="138"/>
      <c r="O72" s="138"/>
      <c r="P72" s="138"/>
    </row>
    <row r="73">
      <c r="A73" s="138"/>
      <c r="B73" s="138"/>
      <c r="C73" s="138"/>
      <c r="D73" s="138"/>
      <c r="E73" s="138"/>
      <c r="F73" s="138"/>
      <c r="G73" s="138"/>
      <c r="H73" s="138"/>
      <c r="I73" s="138"/>
      <c r="J73" s="138"/>
      <c r="K73" s="138"/>
      <c r="L73" s="138"/>
      <c r="M73" s="138"/>
      <c r="N73" s="138"/>
      <c r="O73" s="138"/>
      <c r="P73" s="138"/>
    </row>
    <row r="74">
      <c r="A74" s="138"/>
      <c r="B74" s="138"/>
      <c r="C74" s="138"/>
      <c r="D74" s="138"/>
      <c r="E74" s="138"/>
      <c r="F74" s="138"/>
      <c r="G74" s="138"/>
      <c r="H74" s="138"/>
      <c r="I74" s="138"/>
      <c r="J74" s="138"/>
      <c r="K74" s="138"/>
      <c r="L74" s="138"/>
      <c r="M74" s="138"/>
      <c r="N74" s="138"/>
      <c r="O74" s="138"/>
      <c r="P74" s="138"/>
    </row>
    <row r="75">
      <c r="A75" s="138"/>
      <c r="B75" s="138"/>
      <c r="C75" s="138"/>
      <c r="D75" s="138"/>
      <c r="E75" s="138"/>
      <c r="F75" s="138"/>
      <c r="G75" s="138"/>
      <c r="H75" s="138"/>
      <c r="I75" s="138"/>
      <c r="J75" s="138"/>
      <c r="K75" s="138"/>
      <c r="L75" s="138"/>
      <c r="M75" s="138"/>
      <c r="N75" s="138"/>
      <c r="O75" s="138"/>
      <c r="P75" s="138"/>
    </row>
    <row r="76">
      <c r="A76" s="138"/>
      <c r="B76" s="138"/>
      <c r="C76" s="138"/>
      <c r="D76" s="138"/>
      <c r="E76" s="138"/>
      <c r="F76" s="138"/>
      <c r="G76" s="138"/>
      <c r="H76" s="138"/>
      <c r="I76" s="138"/>
      <c r="J76" s="138"/>
      <c r="K76" s="138"/>
      <c r="L76" s="138"/>
      <c r="M76" s="138"/>
      <c r="N76" s="138"/>
      <c r="O76" s="138"/>
      <c r="P76" s="138"/>
    </row>
    <row r="77">
      <c r="A77" s="138"/>
      <c r="B77" s="138"/>
      <c r="C77" s="138"/>
      <c r="D77" s="138"/>
      <c r="E77" s="138"/>
      <c r="F77" s="138"/>
      <c r="G77" s="138"/>
      <c r="H77" s="138"/>
      <c r="I77" s="138"/>
      <c r="J77" s="138"/>
      <c r="K77" s="138"/>
      <c r="L77" s="138"/>
      <c r="M77" s="138"/>
      <c r="N77" s="138"/>
      <c r="O77" s="138"/>
      <c r="P77" s="138"/>
    </row>
    <row r="78">
      <c r="A78" s="138"/>
      <c r="B78" s="138"/>
      <c r="C78" s="138"/>
      <c r="D78" s="138"/>
      <c r="E78" s="138"/>
      <c r="F78" s="138"/>
      <c r="G78" s="138"/>
      <c r="H78" s="138"/>
      <c r="I78" s="138"/>
      <c r="J78" s="138"/>
      <c r="K78" s="138"/>
      <c r="L78" s="138"/>
      <c r="M78" s="138"/>
      <c r="N78" s="138"/>
      <c r="O78" s="138"/>
      <c r="P78" s="138"/>
    </row>
    <row r="79">
      <c r="A79" s="138"/>
      <c r="B79" s="138"/>
      <c r="C79" s="138"/>
      <c r="D79" s="138"/>
      <c r="E79" s="138"/>
      <c r="F79" s="138"/>
      <c r="G79" s="138"/>
      <c r="H79" s="138"/>
      <c r="I79" s="138"/>
      <c r="J79" s="138"/>
      <c r="K79" s="138"/>
      <c r="L79" s="138"/>
      <c r="M79" s="138"/>
      <c r="N79" s="138"/>
      <c r="O79" s="138"/>
      <c r="P79" s="138"/>
    </row>
    <row r="80">
      <c r="A80" s="138"/>
      <c r="B80" s="138"/>
      <c r="C80" s="138"/>
      <c r="D80" s="138"/>
      <c r="E80" s="138"/>
      <c r="F80" s="138"/>
      <c r="G80" s="138"/>
      <c r="H80" s="138"/>
      <c r="I80" s="138"/>
      <c r="J80" s="138"/>
      <c r="K80" s="138"/>
      <c r="L80" s="138"/>
      <c r="M80" s="138"/>
      <c r="N80" s="138"/>
      <c r="O80" s="138"/>
      <c r="P80" s="138"/>
    </row>
    <row r="81">
      <c r="A81" s="138"/>
      <c r="B81" s="138"/>
      <c r="C81" s="138"/>
      <c r="D81" s="138"/>
      <c r="E81" s="138"/>
      <c r="F81" s="138"/>
      <c r="G81" s="138"/>
      <c r="H81" s="138"/>
      <c r="I81" s="138"/>
      <c r="J81" s="138"/>
      <c r="K81" s="138"/>
      <c r="L81" s="138"/>
      <c r="M81" s="138"/>
      <c r="N81" s="138"/>
      <c r="O81" s="138"/>
      <c r="P81" s="138"/>
    </row>
    <row r="82">
      <c r="A82" s="138"/>
      <c r="B82" s="138"/>
      <c r="C82" s="138"/>
      <c r="D82" s="138"/>
      <c r="E82" s="138"/>
      <c r="F82" s="138"/>
      <c r="G82" s="138"/>
      <c r="H82" s="138"/>
      <c r="I82" s="138"/>
      <c r="J82" s="138"/>
      <c r="K82" s="138"/>
      <c r="L82" s="138"/>
      <c r="M82" s="138"/>
      <c r="N82" s="138"/>
      <c r="O82" s="138"/>
      <c r="P82" s="138"/>
    </row>
    <row r="83">
      <c r="A83" s="138"/>
      <c r="B83" s="138"/>
      <c r="C83" s="138"/>
      <c r="D83" s="138"/>
      <c r="E83" s="138"/>
      <c r="F83" s="138"/>
      <c r="G83" s="138"/>
      <c r="H83" s="138"/>
      <c r="I83" s="138"/>
      <c r="J83" s="138"/>
      <c r="K83" s="138"/>
      <c r="L83" s="138"/>
      <c r="M83" s="138"/>
      <c r="N83" s="138"/>
      <c r="O83" s="138"/>
      <c r="P83" s="138"/>
    </row>
    <row r="84">
      <c r="A84" s="138"/>
      <c r="B84" s="138"/>
      <c r="C84" s="138"/>
      <c r="D84" s="138"/>
      <c r="E84" s="138"/>
      <c r="F84" s="138"/>
      <c r="G84" s="138"/>
      <c r="H84" s="138"/>
      <c r="I84" s="138"/>
      <c r="J84" s="138"/>
      <c r="K84" s="138"/>
      <c r="L84" s="138"/>
      <c r="M84" s="138"/>
      <c r="N84" s="138"/>
      <c r="O84" s="138"/>
      <c r="P84" s="138"/>
    </row>
    <row r="85">
      <c r="A85" s="138"/>
      <c r="B85" s="138"/>
      <c r="C85" s="138"/>
      <c r="D85" s="138"/>
      <c r="E85" s="138"/>
      <c r="F85" s="138"/>
      <c r="G85" s="138"/>
      <c r="H85" s="138"/>
      <c r="I85" s="138"/>
      <c r="J85" s="138"/>
      <c r="K85" s="138"/>
      <c r="L85" s="138"/>
      <c r="M85" s="138"/>
      <c r="N85" s="138"/>
      <c r="O85" s="138"/>
      <c r="P85" s="138"/>
    </row>
    <row r="86">
      <c r="A86" s="138"/>
      <c r="B86" s="138"/>
      <c r="C86" s="138"/>
      <c r="D86" s="138"/>
      <c r="E86" s="138"/>
      <c r="F86" s="138"/>
      <c r="G86" s="138"/>
      <c r="H86" s="138"/>
      <c r="I86" s="138"/>
      <c r="J86" s="138"/>
      <c r="K86" s="138"/>
      <c r="L86" s="138"/>
      <c r="M86" s="138"/>
      <c r="N86" s="138"/>
      <c r="O86" s="138"/>
      <c r="P86" s="138"/>
    </row>
    <row r="87">
      <c r="A87" s="138"/>
      <c r="B87" s="138"/>
      <c r="C87" s="138"/>
      <c r="D87" s="138"/>
      <c r="E87" s="138"/>
      <c r="F87" s="138"/>
      <c r="G87" s="138"/>
      <c r="H87" s="138"/>
      <c r="I87" s="138"/>
      <c r="J87" s="138"/>
      <c r="K87" s="138"/>
      <c r="L87" s="138"/>
      <c r="M87" s="138"/>
      <c r="N87" s="138"/>
      <c r="O87" s="138"/>
      <c r="P87" s="138"/>
    </row>
    <row r="88">
      <c r="A88" s="138"/>
      <c r="B88" s="138"/>
      <c r="C88" s="138"/>
      <c r="D88" s="138"/>
      <c r="E88" s="138"/>
      <c r="F88" s="138"/>
      <c r="G88" s="138"/>
      <c r="H88" s="138"/>
      <c r="I88" s="138"/>
      <c r="J88" s="138"/>
      <c r="K88" s="138"/>
      <c r="L88" s="138"/>
      <c r="M88" s="138"/>
      <c r="N88" s="138"/>
      <c r="O88" s="138"/>
      <c r="P88" s="138"/>
    </row>
    <row r="89">
      <c r="A89" s="138"/>
      <c r="B89" s="138"/>
      <c r="C89" s="138"/>
      <c r="D89" s="138"/>
      <c r="E89" s="138"/>
      <c r="F89" s="138"/>
      <c r="G89" s="138"/>
      <c r="H89" s="138"/>
      <c r="I89" s="138"/>
      <c r="J89" s="138"/>
      <c r="K89" s="138"/>
      <c r="L89" s="138"/>
      <c r="M89" s="138"/>
      <c r="N89" s="138"/>
      <c r="O89" s="138"/>
      <c r="P89" s="138"/>
    </row>
    <row r="90">
      <c r="A90" s="138"/>
      <c r="B90" s="138"/>
      <c r="C90" s="138"/>
      <c r="D90" s="138"/>
      <c r="E90" s="138"/>
      <c r="F90" s="138"/>
      <c r="G90" s="138"/>
      <c r="H90" s="138"/>
      <c r="I90" s="138"/>
      <c r="J90" s="138"/>
      <c r="K90" s="138"/>
      <c r="L90" s="138"/>
      <c r="M90" s="138"/>
      <c r="N90" s="138"/>
      <c r="O90" s="138"/>
      <c r="P90" s="138"/>
    </row>
    <row r="91">
      <c r="A91" s="138"/>
      <c r="B91" s="138"/>
      <c r="C91" s="138"/>
      <c r="D91" s="138"/>
      <c r="E91" s="138"/>
      <c r="F91" s="138"/>
      <c r="G91" s="138"/>
      <c r="H91" s="138"/>
      <c r="I91" s="138"/>
      <c r="J91" s="138"/>
      <c r="K91" s="138"/>
      <c r="L91" s="138"/>
      <c r="M91" s="138"/>
      <c r="N91" s="138"/>
      <c r="O91" s="138"/>
      <c r="P91" s="138"/>
    </row>
    <row r="92">
      <c r="A92" s="138"/>
      <c r="B92" s="138"/>
      <c r="C92" s="138"/>
      <c r="D92" s="138"/>
      <c r="E92" s="138"/>
      <c r="F92" s="138"/>
      <c r="G92" s="138"/>
      <c r="H92" s="138"/>
      <c r="I92" s="138"/>
      <c r="J92" s="138"/>
      <c r="K92" s="138"/>
      <c r="L92" s="138"/>
      <c r="M92" s="138"/>
      <c r="N92" s="138"/>
      <c r="O92" s="138"/>
      <c r="P92" s="138"/>
    </row>
    <row r="93">
      <c r="A93" s="138"/>
      <c r="B93" s="138"/>
      <c r="C93" s="138"/>
      <c r="D93" s="138"/>
      <c r="E93" s="138"/>
      <c r="F93" s="138"/>
      <c r="G93" s="138"/>
      <c r="H93" s="138"/>
      <c r="I93" s="138"/>
      <c r="J93" s="138"/>
      <c r="K93" s="138"/>
      <c r="L93" s="138"/>
      <c r="M93" s="138"/>
      <c r="N93" s="138"/>
      <c r="O93" s="138"/>
      <c r="P93" s="138"/>
    </row>
    <row r="94">
      <c r="A94" s="138"/>
      <c r="B94" s="138"/>
      <c r="C94" s="138"/>
      <c r="D94" s="138"/>
      <c r="E94" s="138"/>
      <c r="F94" s="138"/>
      <c r="G94" s="138"/>
      <c r="H94" s="138"/>
      <c r="I94" s="138"/>
      <c r="J94" s="138"/>
      <c r="K94" s="138"/>
      <c r="L94" s="138"/>
      <c r="M94" s="138"/>
      <c r="N94" s="138"/>
      <c r="O94" s="138"/>
      <c r="P94" s="138"/>
    </row>
    <row r="95">
      <c r="A95" s="138"/>
      <c r="B95" s="138"/>
      <c r="C95" s="138"/>
      <c r="D95" s="138"/>
      <c r="E95" s="138"/>
      <c r="F95" s="138"/>
      <c r="G95" s="138"/>
      <c r="H95" s="138"/>
      <c r="I95" s="138"/>
      <c r="J95" s="138"/>
      <c r="K95" s="138"/>
      <c r="L95" s="138"/>
      <c r="M95" s="138"/>
      <c r="N95" s="138"/>
      <c r="O95" s="138"/>
      <c r="P95" s="138"/>
    </row>
    <row r="96">
      <c r="A96" s="138"/>
      <c r="B96" s="138"/>
      <c r="C96" s="138"/>
      <c r="D96" s="138"/>
      <c r="E96" s="138"/>
      <c r="F96" s="138"/>
      <c r="G96" s="138"/>
      <c r="H96" s="138"/>
      <c r="I96" s="138"/>
      <c r="J96" s="138"/>
      <c r="K96" s="138"/>
      <c r="L96" s="138"/>
      <c r="M96" s="138"/>
      <c r="N96" s="138"/>
      <c r="O96" s="138"/>
      <c r="P96" s="138"/>
    </row>
    <row r="97">
      <c r="A97" s="138"/>
      <c r="B97" s="138"/>
      <c r="C97" s="138"/>
      <c r="D97" s="138"/>
      <c r="E97" s="138"/>
      <c r="F97" s="138"/>
      <c r="G97" s="138"/>
      <c r="H97" s="138"/>
      <c r="I97" s="138"/>
      <c r="J97" s="138"/>
      <c r="K97" s="138"/>
      <c r="L97" s="138"/>
      <c r="M97" s="138"/>
      <c r="N97" s="138"/>
      <c r="O97" s="138"/>
      <c r="P97" s="138"/>
    </row>
    <row r="98">
      <c r="A98" s="138"/>
      <c r="B98" s="138"/>
      <c r="C98" s="138"/>
      <c r="D98" s="138"/>
      <c r="E98" s="138"/>
      <c r="F98" s="138"/>
      <c r="G98" s="138"/>
      <c r="H98" s="138"/>
      <c r="I98" s="138"/>
      <c r="J98" s="138"/>
      <c r="K98" s="138"/>
      <c r="L98" s="138"/>
      <c r="M98" s="138"/>
      <c r="N98" s="138"/>
      <c r="O98" s="138"/>
      <c r="P98" s="138"/>
    </row>
    <row r="99">
      <c r="A99" s="138"/>
      <c r="B99" s="138"/>
      <c r="C99" s="138"/>
      <c r="D99" s="138"/>
      <c r="E99" s="138"/>
      <c r="F99" s="138"/>
      <c r="G99" s="138"/>
      <c r="H99" s="138"/>
      <c r="I99" s="138"/>
      <c r="J99" s="138"/>
      <c r="K99" s="138"/>
      <c r="L99" s="138"/>
      <c r="M99" s="138"/>
      <c r="N99" s="138"/>
      <c r="O99" s="138"/>
      <c r="P99" s="138"/>
    </row>
    <row r="100">
      <c r="A100" s="138"/>
      <c r="B100" s="138"/>
      <c r="C100" s="138"/>
      <c r="D100" s="138"/>
      <c r="E100" s="138"/>
      <c r="F100" s="138"/>
      <c r="G100" s="138"/>
      <c r="H100" s="138"/>
      <c r="I100" s="138"/>
      <c r="J100" s="138"/>
      <c r="K100" s="138"/>
      <c r="L100" s="138"/>
      <c r="M100" s="138"/>
      <c r="N100" s="138"/>
      <c r="O100" s="138"/>
      <c r="P100" s="138"/>
    </row>
    <row r="101">
      <c r="A101" s="138"/>
      <c r="B101" s="138"/>
      <c r="C101" s="138"/>
      <c r="D101" s="138"/>
      <c r="E101" s="138"/>
      <c r="F101" s="138"/>
      <c r="G101" s="138"/>
      <c r="H101" s="138"/>
      <c r="I101" s="138"/>
      <c r="J101" s="138"/>
      <c r="K101" s="138"/>
      <c r="L101" s="138"/>
      <c r="M101" s="138"/>
      <c r="N101" s="138"/>
      <c r="O101" s="138"/>
      <c r="P101" s="138"/>
    </row>
    <row r="102">
      <c r="A102" s="138"/>
      <c r="B102" s="138"/>
      <c r="C102" s="138"/>
      <c r="D102" s="138"/>
      <c r="E102" s="138"/>
      <c r="F102" s="138"/>
      <c r="G102" s="138"/>
      <c r="H102" s="138"/>
      <c r="I102" s="138"/>
      <c r="J102" s="138"/>
      <c r="K102" s="138"/>
      <c r="L102" s="138"/>
      <c r="M102" s="138"/>
      <c r="N102" s="138"/>
      <c r="O102" s="138"/>
      <c r="P102" s="138"/>
    </row>
    <row r="103">
      <c r="A103" s="138"/>
      <c r="B103" s="138"/>
      <c r="C103" s="138"/>
      <c r="D103" s="138"/>
      <c r="E103" s="138"/>
      <c r="F103" s="138"/>
      <c r="G103" s="138"/>
      <c r="H103" s="138"/>
      <c r="I103" s="138"/>
      <c r="J103" s="138"/>
      <c r="K103" s="138"/>
      <c r="L103" s="138"/>
      <c r="M103" s="138"/>
      <c r="N103" s="138"/>
      <c r="O103" s="138"/>
      <c r="P103" s="138"/>
    </row>
    <row r="104">
      <c r="A104" s="138"/>
      <c r="B104" s="138"/>
      <c r="C104" s="138"/>
      <c r="D104" s="138"/>
      <c r="E104" s="138"/>
      <c r="F104" s="138"/>
      <c r="G104" s="138"/>
      <c r="H104" s="138"/>
      <c r="I104" s="138"/>
      <c r="J104" s="138"/>
      <c r="K104" s="138"/>
      <c r="L104" s="138"/>
      <c r="M104" s="138"/>
      <c r="N104" s="138"/>
      <c r="O104" s="138"/>
      <c r="P104" s="138"/>
    </row>
    <row r="105">
      <c r="A105" s="138"/>
      <c r="B105" s="138"/>
      <c r="C105" s="138"/>
      <c r="D105" s="138"/>
      <c r="E105" s="138"/>
      <c r="F105" s="138"/>
      <c r="G105" s="138"/>
      <c r="H105" s="138"/>
      <c r="I105" s="138"/>
      <c r="J105" s="138"/>
      <c r="K105" s="138"/>
      <c r="L105" s="138"/>
      <c r="M105" s="138"/>
      <c r="N105" s="138"/>
      <c r="O105" s="138"/>
      <c r="P105" s="138"/>
    </row>
    <row r="106">
      <c r="A106" s="138"/>
      <c r="B106" s="138"/>
      <c r="C106" s="138"/>
      <c r="D106" s="138"/>
      <c r="E106" s="138"/>
      <c r="F106" s="138"/>
      <c r="G106" s="138"/>
      <c r="H106" s="138"/>
      <c r="I106" s="138"/>
      <c r="J106" s="138"/>
      <c r="K106" s="138"/>
      <c r="L106" s="138"/>
      <c r="M106" s="138"/>
      <c r="N106" s="138"/>
      <c r="O106" s="138"/>
      <c r="P106" s="138"/>
    </row>
    <row r="107">
      <c r="A107" s="138"/>
      <c r="B107" s="138"/>
      <c r="C107" s="138"/>
      <c r="D107" s="138"/>
      <c r="E107" s="138"/>
      <c r="F107" s="138"/>
      <c r="G107" s="138"/>
      <c r="H107" s="138"/>
      <c r="I107" s="138"/>
      <c r="J107" s="138"/>
      <c r="K107" s="138"/>
      <c r="L107" s="138"/>
      <c r="M107" s="138"/>
      <c r="N107" s="138"/>
      <c r="O107" s="138"/>
      <c r="P107" s="138"/>
    </row>
    <row r="108">
      <c r="A108" s="138"/>
      <c r="B108" s="138"/>
      <c r="C108" s="138"/>
      <c r="D108" s="138"/>
      <c r="E108" s="138"/>
      <c r="F108" s="138"/>
      <c r="G108" s="138"/>
      <c r="H108" s="138"/>
      <c r="I108" s="138"/>
      <c r="J108" s="138"/>
      <c r="K108" s="138"/>
      <c r="L108" s="138"/>
      <c r="M108" s="138"/>
      <c r="N108" s="138"/>
      <c r="O108" s="138"/>
      <c r="P108" s="138"/>
    </row>
    <row r="109">
      <c r="A109" s="138"/>
      <c r="B109" s="138"/>
      <c r="C109" s="138"/>
      <c r="D109" s="138"/>
      <c r="E109" s="138"/>
      <c r="F109" s="138"/>
      <c r="G109" s="138"/>
      <c r="H109" s="138"/>
      <c r="I109" s="138"/>
      <c r="J109" s="138"/>
      <c r="K109" s="138"/>
      <c r="L109" s="138"/>
      <c r="M109" s="138"/>
      <c r="N109" s="138"/>
      <c r="O109" s="138"/>
      <c r="P109" s="138"/>
    </row>
    <row r="110">
      <c r="A110" s="138"/>
      <c r="B110" s="138"/>
      <c r="C110" s="138"/>
      <c r="D110" s="138"/>
      <c r="E110" s="138"/>
      <c r="F110" s="138"/>
      <c r="G110" s="138"/>
      <c r="H110" s="138"/>
      <c r="I110" s="138"/>
      <c r="J110" s="138"/>
      <c r="K110" s="138"/>
      <c r="L110" s="138"/>
      <c r="M110" s="138"/>
      <c r="N110" s="138"/>
      <c r="O110" s="138"/>
      <c r="P110" s="138"/>
    </row>
    <row r="111">
      <c r="A111" s="138"/>
      <c r="B111" s="138"/>
      <c r="C111" s="138"/>
      <c r="D111" s="138"/>
      <c r="E111" s="138"/>
      <c r="F111" s="138"/>
      <c r="G111" s="138"/>
      <c r="H111" s="138"/>
      <c r="I111" s="138"/>
      <c r="J111" s="138"/>
      <c r="K111" s="138"/>
      <c r="L111" s="138"/>
      <c r="M111" s="138"/>
      <c r="N111" s="138"/>
      <c r="O111" s="138"/>
      <c r="P111" s="138"/>
    </row>
    <row r="112">
      <c r="A112" s="138"/>
      <c r="B112" s="138"/>
      <c r="C112" s="138"/>
      <c r="D112" s="138"/>
      <c r="E112" s="138"/>
      <c r="F112" s="138"/>
      <c r="G112" s="138"/>
      <c r="H112" s="138"/>
      <c r="I112" s="138"/>
      <c r="J112" s="138"/>
      <c r="K112" s="138"/>
      <c r="L112" s="138"/>
      <c r="M112" s="138"/>
      <c r="N112" s="138"/>
      <c r="O112" s="138"/>
      <c r="P112" s="138"/>
    </row>
    <row r="113">
      <c r="A113" s="138"/>
      <c r="B113" s="138"/>
      <c r="C113" s="138"/>
      <c r="D113" s="138"/>
      <c r="E113" s="138"/>
      <c r="F113" s="138"/>
      <c r="G113" s="138"/>
      <c r="H113" s="138"/>
      <c r="I113" s="138"/>
      <c r="J113" s="138"/>
      <c r="K113" s="138"/>
      <c r="L113" s="138"/>
      <c r="M113" s="138"/>
      <c r="N113" s="138"/>
      <c r="O113" s="138"/>
      <c r="P113" s="138"/>
    </row>
    <row r="114">
      <c r="A114" s="138"/>
      <c r="B114" s="138"/>
      <c r="C114" s="138"/>
      <c r="D114" s="138"/>
      <c r="E114" s="138"/>
      <c r="F114" s="138"/>
      <c r="G114" s="138"/>
      <c r="H114" s="138"/>
      <c r="I114" s="138"/>
      <c r="J114" s="138"/>
      <c r="K114" s="138"/>
      <c r="L114" s="138"/>
      <c r="M114" s="138"/>
      <c r="N114" s="138"/>
      <c r="O114" s="138"/>
      <c r="P114" s="138"/>
    </row>
    <row r="115">
      <c r="A115" s="138"/>
      <c r="B115" s="138"/>
      <c r="C115" s="138"/>
      <c r="D115" s="138"/>
      <c r="E115" s="138"/>
      <c r="F115" s="138"/>
      <c r="G115" s="138"/>
      <c r="H115" s="138"/>
      <c r="I115" s="138"/>
      <c r="J115" s="138"/>
      <c r="K115" s="138"/>
      <c r="L115" s="138"/>
      <c r="M115" s="138"/>
      <c r="N115" s="138"/>
      <c r="O115" s="138"/>
      <c r="P115" s="138"/>
    </row>
    <row r="116">
      <c r="A116" s="138"/>
      <c r="B116" s="138"/>
      <c r="C116" s="138"/>
      <c r="D116" s="138"/>
      <c r="E116" s="138"/>
      <c r="F116" s="138"/>
      <c r="G116" s="138"/>
      <c r="H116" s="138"/>
      <c r="I116" s="138"/>
      <c r="J116" s="138"/>
      <c r="K116" s="138"/>
      <c r="L116" s="138"/>
      <c r="M116" s="138"/>
      <c r="N116" s="138"/>
      <c r="O116" s="138"/>
      <c r="P116" s="138"/>
    </row>
    <row r="117">
      <c r="A117" s="138"/>
      <c r="B117" s="138"/>
      <c r="C117" s="138"/>
      <c r="D117" s="138"/>
      <c r="E117" s="138"/>
      <c r="F117" s="138"/>
      <c r="G117" s="138"/>
      <c r="H117" s="138"/>
      <c r="I117" s="138"/>
      <c r="J117" s="138"/>
      <c r="K117" s="138"/>
      <c r="L117" s="138"/>
      <c r="M117" s="138"/>
      <c r="N117" s="138"/>
      <c r="O117" s="138"/>
      <c r="P117" s="138"/>
    </row>
    <row r="118">
      <c r="A118" s="138"/>
      <c r="B118" s="138"/>
      <c r="C118" s="138"/>
      <c r="D118" s="138"/>
      <c r="E118" s="138"/>
      <c r="F118" s="138"/>
      <c r="G118" s="138"/>
      <c r="H118" s="138"/>
      <c r="I118" s="138"/>
      <c r="J118" s="138"/>
      <c r="K118" s="138"/>
      <c r="L118" s="138"/>
      <c r="M118" s="138"/>
      <c r="N118" s="138"/>
      <c r="O118" s="138"/>
      <c r="P118" s="138"/>
    </row>
    <row r="119">
      <c r="A119" s="138"/>
      <c r="B119" s="138"/>
      <c r="C119" s="138"/>
      <c r="D119" s="138"/>
      <c r="E119" s="138"/>
      <c r="F119" s="138"/>
      <c r="G119" s="138"/>
      <c r="H119" s="138"/>
      <c r="I119" s="138"/>
      <c r="J119" s="138"/>
      <c r="K119" s="138"/>
      <c r="L119" s="138"/>
      <c r="M119" s="138"/>
      <c r="N119" s="138"/>
      <c r="O119" s="138"/>
      <c r="P119" s="138"/>
    </row>
    <row r="120">
      <c r="A120" s="138"/>
      <c r="B120" s="138"/>
      <c r="C120" s="138"/>
      <c r="D120" s="138"/>
      <c r="E120" s="138"/>
      <c r="F120" s="138"/>
      <c r="G120" s="138"/>
      <c r="H120" s="138"/>
      <c r="I120" s="138"/>
      <c r="J120" s="138"/>
      <c r="K120" s="138"/>
      <c r="L120" s="138"/>
      <c r="M120" s="138"/>
      <c r="N120" s="138"/>
      <c r="O120" s="138"/>
      <c r="P120" s="138"/>
    </row>
    <row r="121">
      <c r="A121" s="138"/>
      <c r="B121" s="138"/>
      <c r="C121" s="138"/>
      <c r="D121" s="138"/>
      <c r="E121" s="138"/>
      <c r="F121" s="138"/>
      <c r="G121" s="138"/>
      <c r="H121" s="138"/>
      <c r="I121" s="138"/>
      <c r="J121" s="138"/>
      <c r="K121" s="138"/>
      <c r="L121" s="138"/>
      <c r="M121" s="138"/>
      <c r="N121" s="138"/>
      <c r="O121" s="138"/>
      <c r="P121" s="138"/>
    </row>
    <row r="122">
      <c r="A122" s="138"/>
      <c r="B122" s="138"/>
      <c r="C122" s="138"/>
      <c r="D122" s="138"/>
      <c r="E122" s="138"/>
      <c r="F122" s="138"/>
      <c r="G122" s="138"/>
      <c r="H122" s="138"/>
      <c r="I122" s="138"/>
      <c r="J122" s="138"/>
      <c r="K122" s="138"/>
      <c r="L122" s="138"/>
      <c r="M122" s="138"/>
      <c r="N122" s="138"/>
      <c r="O122" s="138"/>
      <c r="P122" s="138"/>
    </row>
    <row r="123">
      <c r="A123" s="138"/>
      <c r="B123" s="138"/>
      <c r="C123" s="138"/>
      <c r="D123" s="138"/>
      <c r="E123" s="138"/>
      <c r="F123" s="138"/>
      <c r="G123" s="138"/>
      <c r="H123" s="138"/>
      <c r="I123" s="138"/>
      <c r="J123" s="138"/>
      <c r="K123" s="138"/>
      <c r="L123" s="138"/>
      <c r="M123" s="138"/>
      <c r="N123" s="138"/>
      <c r="O123" s="138"/>
      <c r="P123" s="138"/>
    </row>
    <row r="124">
      <c r="A124" s="138"/>
      <c r="B124" s="138"/>
      <c r="C124" s="138"/>
      <c r="D124" s="138"/>
      <c r="E124" s="138"/>
      <c r="F124" s="138"/>
      <c r="G124" s="138"/>
      <c r="H124" s="138"/>
      <c r="I124" s="138"/>
      <c r="J124" s="138"/>
      <c r="K124" s="138"/>
      <c r="L124" s="138"/>
      <c r="M124" s="138"/>
      <c r="N124" s="138"/>
      <c r="O124" s="138"/>
      <c r="P124" s="138"/>
    </row>
    <row r="125">
      <c r="A125" s="138"/>
      <c r="B125" s="138"/>
      <c r="C125" s="138"/>
      <c r="D125" s="138"/>
      <c r="E125" s="138"/>
      <c r="F125" s="138"/>
      <c r="G125" s="138"/>
      <c r="H125" s="138"/>
      <c r="I125" s="138"/>
      <c r="J125" s="138"/>
      <c r="K125" s="138"/>
      <c r="L125" s="138"/>
      <c r="M125" s="138"/>
      <c r="N125" s="138"/>
      <c r="O125" s="138"/>
      <c r="P125" s="138"/>
    </row>
    <row r="126">
      <c r="A126" s="138"/>
      <c r="B126" s="138"/>
      <c r="C126" s="138"/>
      <c r="D126" s="138"/>
      <c r="E126" s="138"/>
      <c r="F126" s="138"/>
      <c r="G126" s="138"/>
      <c r="H126" s="138"/>
      <c r="I126" s="138"/>
      <c r="J126" s="138"/>
      <c r="K126" s="138"/>
      <c r="L126" s="138"/>
      <c r="M126" s="138"/>
      <c r="N126" s="138"/>
      <c r="O126" s="138"/>
      <c r="P126" s="138"/>
    </row>
    <row r="127">
      <c r="A127" s="138"/>
      <c r="B127" s="138"/>
      <c r="C127" s="138"/>
      <c r="D127" s="138"/>
      <c r="E127" s="138"/>
      <c r="F127" s="138"/>
      <c r="G127" s="138"/>
      <c r="H127" s="138"/>
      <c r="I127" s="138"/>
      <c r="J127" s="138"/>
      <c r="K127" s="138"/>
      <c r="L127" s="138"/>
      <c r="M127" s="138"/>
      <c r="N127" s="138"/>
      <c r="O127" s="138"/>
      <c r="P127" s="138"/>
    </row>
    <row r="128">
      <c r="A128" s="138"/>
      <c r="B128" s="138"/>
      <c r="C128" s="138"/>
      <c r="D128" s="138"/>
      <c r="E128" s="138"/>
      <c r="F128" s="138"/>
      <c r="G128" s="138"/>
      <c r="H128" s="138"/>
      <c r="I128" s="138"/>
      <c r="J128" s="138"/>
      <c r="K128" s="138"/>
      <c r="L128" s="138"/>
      <c r="M128" s="138"/>
      <c r="N128" s="138"/>
      <c r="O128" s="138"/>
      <c r="P128" s="138"/>
    </row>
    <row r="129">
      <c r="A129" s="138"/>
      <c r="B129" s="138"/>
      <c r="C129" s="138"/>
      <c r="D129" s="138"/>
      <c r="E129" s="138"/>
      <c r="F129" s="138"/>
      <c r="G129" s="138"/>
      <c r="H129" s="138"/>
      <c r="I129" s="138"/>
      <c r="J129" s="138"/>
      <c r="K129" s="138"/>
      <c r="L129" s="138"/>
      <c r="M129" s="138"/>
      <c r="N129" s="138"/>
      <c r="O129" s="138"/>
      <c r="P129" s="138"/>
    </row>
    <row r="130">
      <c r="A130" s="138"/>
      <c r="B130" s="138"/>
      <c r="C130" s="138"/>
      <c r="D130" s="138"/>
      <c r="E130" s="138"/>
      <c r="F130" s="138"/>
      <c r="G130" s="138"/>
      <c r="H130" s="138"/>
      <c r="I130" s="138"/>
      <c r="J130" s="138"/>
      <c r="K130" s="138"/>
      <c r="L130" s="138"/>
      <c r="M130" s="138"/>
      <c r="N130" s="138"/>
      <c r="O130" s="138"/>
      <c r="P130" s="138"/>
    </row>
    <row r="131">
      <c r="A131" s="138"/>
      <c r="B131" s="138"/>
      <c r="C131" s="138"/>
      <c r="D131" s="138"/>
      <c r="E131" s="138"/>
      <c r="F131" s="138"/>
      <c r="G131" s="138"/>
      <c r="H131" s="138"/>
      <c r="I131" s="138"/>
      <c r="J131" s="138"/>
      <c r="K131" s="138"/>
      <c r="L131" s="138"/>
      <c r="M131" s="138"/>
      <c r="N131" s="138"/>
      <c r="O131" s="138"/>
      <c r="P131" s="138"/>
    </row>
    <row r="132">
      <c r="A132" s="138"/>
      <c r="B132" s="138"/>
      <c r="C132" s="138"/>
      <c r="D132" s="138"/>
      <c r="E132" s="138"/>
      <c r="F132" s="138"/>
      <c r="G132" s="138"/>
      <c r="H132" s="138"/>
      <c r="I132" s="138"/>
      <c r="J132" s="138"/>
      <c r="K132" s="138"/>
      <c r="L132" s="138"/>
      <c r="M132" s="138"/>
      <c r="N132" s="138"/>
      <c r="O132" s="138"/>
      <c r="P132" s="138"/>
    </row>
    <row r="133">
      <c r="A133" s="138"/>
      <c r="B133" s="138"/>
      <c r="C133" s="138"/>
      <c r="D133" s="138"/>
      <c r="E133" s="138"/>
      <c r="F133" s="138"/>
      <c r="G133" s="138"/>
      <c r="H133" s="138"/>
      <c r="I133" s="138"/>
      <c r="J133" s="138"/>
      <c r="K133" s="138"/>
      <c r="L133" s="138"/>
      <c r="M133" s="138"/>
      <c r="N133" s="138"/>
      <c r="O133" s="138"/>
      <c r="P133" s="138"/>
    </row>
    <row r="134">
      <c r="A134" s="138"/>
      <c r="B134" s="138"/>
      <c r="C134" s="138"/>
      <c r="D134" s="138"/>
      <c r="E134" s="138"/>
      <c r="F134" s="138"/>
      <c r="G134" s="138"/>
      <c r="H134" s="138"/>
      <c r="I134" s="138"/>
      <c r="J134" s="138"/>
      <c r="K134" s="138"/>
      <c r="L134" s="138"/>
      <c r="M134" s="138"/>
      <c r="N134" s="138"/>
      <c r="O134" s="138"/>
      <c r="P134" s="138"/>
    </row>
    <row r="135">
      <c r="A135" s="138"/>
      <c r="B135" s="138"/>
      <c r="C135" s="138"/>
      <c r="D135" s="138"/>
      <c r="E135" s="138"/>
      <c r="F135" s="138"/>
      <c r="G135" s="138"/>
      <c r="H135" s="138"/>
      <c r="I135" s="138"/>
      <c r="J135" s="138"/>
      <c r="K135" s="138"/>
      <c r="L135" s="138"/>
      <c r="M135" s="138"/>
      <c r="N135" s="138"/>
      <c r="O135" s="138"/>
      <c r="P135" s="138"/>
    </row>
    <row r="136">
      <c r="A136" s="138"/>
      <c r="B136" s="138"/>
      <c r="C136" s="138"/>
      <c r="D136" s="138"/>
      <c r="E136" s="138"/>
      <c r="F136" s="138"/>
      <c r="G136" s="138"/>
      <c r="H136" s="138"/>
      <c r="I136" s="138"/>
      <c r="J136" s="138"/>
      <c r="K136" s="138"/>
      <c r="L136" s="138"/>
      <c r="M136" s="138"/>
      <c r="N136" s="138"/>
      <c r="O136" s="138"/>
      <c r="P136" s="138"/>
    </row>
    <row r="137">
      <c r="A137" s="138"/>
      <c r="B137" s="138"/>
      <c r="C137" s="138"/>
      <c r="D137" s="138"/>
      <c r="E137" s="138"/>
      <c r="F137" s="138"/>
      <c r="G137" s="138"/>
      <c r="H137" s="138"/>
      <c r="I137" s="138"/>
      <c r="J137" s="138"/>
      <c r="K137" s="138"/>
      <c r="L137" s="138"/>
      <c r="M137" s="138"/>
      <c r="N137" s="138"/>
      <c r="O137" s="138"/>
      <c r="P137" s="138"/>
    </row>
    <row r="138">
      <c r="A138" s="138"/>
      <c r="B138" s="138"/>
      <c r="C138" s="138"/>
      <c r="D138" s="138"/>
      <c r="E138" s="138"/>
      <c r="F138" s="138"/>
      <c r="G138" s="138"/>
      <c r="H138" s="138"/>
      <c r="I138" s="138"/>
      <c r="J138" s="138"/>
      <c r="K138" s="138"/>
      <c r="L138" s="138"/>
      <c r="M138" s="138"/>
      <c r="N138" s="138"/>
      <c r="O138" s="138"/>
      <c r="P138" s="138"/>
    </row>
    <row r="139">
      <c r="A139" s="138"/>
      <c r="B139" s="138"/>
      <c r="C139" s="138"/>
      <c r="D139" s="138"/>
      <c r="E139" s="138"/>
      <c r="F139" s="138"/>
      <c r="G139" s="138"/>
      <c r="H139" s="138"/>
      <c r="I139" s="138"/>
      <c r="J139" s="138"/>
      <c r="K139" s="138"/>
      <c r="L139" s="138"/>
      <c r="M139" s="138"/>
      <c r="N139" s="138"/>
      <c r="O139" s="138"/>
      <c r="P139" s="138"/>
    </row>
    <row r="140">
      <c r="A140" s="138"/>
      <c r="B140" s="138"/>
      <c r="C140" s="138"/>
      <c r="D140" s="138"/>
      <c r="E140" s="138"/>
      <c r="F140" s="138"/>
      <c r="G140" s="138"/>
      <c r="H140" s="138"/>
      <c r="I140" s="138"/>
      <c r="J140" s="138"/>
      <c r="K140" s="138"/>
      <c r="L140" s="138"/>
      <c r="M140" s="138"/>
      <c r="N140" s="138"/>
      <c r="O140" s="138"/>
      <c r="P140" s="138"/>
    </row>
    <row r="141">
      <c r="A141" s="138"/>
      <c r="B141" s="138"/>
      <c r="C141" s="138"/>
      <c r="D141" s="138"/>
      <c r="E141" s="138"/>
      <c r="F141" s="138"/>
      <c r="G141" s="138"/>
      <c r="H141" s="138"/>
      <c r="I141" s="138"/>
      <c r="J141" s="138"/>
      <c r="K141" s="138"/>
      <c r="L141" s="138"/>
      <c r="M141" s="138"/>
      <c r="N141" s="138"/>
      <c r="O141" s="138"/>
      <c r="P141" s="138"/>
    </row>
    <row r="142">
      <c r="A142" s="138"/>
      <c r="B142" s="138"/>
      <c r="C142" s="138"/>
      <c r="D142" s="138"/>
      <c r="E142" s="138"/>
      <c r="F142" s="138"/>
      <c r="G142" s="138"/>
      <c r="H142" s="138"/>
      <c r="I142" s="138"/>
      <c r="J142" s="138"/>
      <c r="K142" s="138"/>
      <c r="L142" s="138"/>
      <c r="M142" s="138"/>
      <c r="N142" s="138"/>
      <c r="O142" s="138"/>
      <c r="P142" s="138"/>
    </row>
    <row r="143">
      <c r="A143" s="138"/>
      <c r="B143" s="138"/>
      <c r="C143" s="138"/>
      <c r="D143" s="138"/>
      <c r="E143" s="138"/>
      <c r="F143" s="138"/>
      <c r="G143" s="138"/>
      <c r="H143" s="138"/>
      <c r="I143" s="138"/>
      <c r="J143" s="138"/>
      <c r="K143" s="138"/>
      <c r="L143" s="138"/>
      <c r="M143" s="138"/>
      <c r="N143" s="138"/>
      <c r="O143" s="138"/>
      <c r="P143" s="138"/>
    </row>
    <row r="144">
      <c r="A144" s="138"/>
      <c r="B144" s="138"/>
      <c r="C144" s="138"/>
      <c r="D144" s="138"/>
      <c r="E144" s="138"/>
      <c r="F144" s="138"/>
      <c r="G144" s="138"/>
      <c r="H144" s="138"/>
      <c r="I144" s="138"/>
      <c r="J144" s="138"/>
      <c r="K144" s="138"/>
      <c r="L144" s="138"/>
      <c r="M144" s="138"/>
      <c r="N144" s="138"/>
      <c r="O144" s="138"/>
      <c r="P144" s="138"/>
    </row>
    <row r="145">
      <c r="A145" s="138"/>
      <c r="B145" s="138"/>
      <c r="C145" s="138"/>
      <c r="D145" s="138"/>
      <c r="E145" s="138"/>
      <c r="F145" s="138"/>
      <c r="G145" s="138"/>
      <c r="H145" s="138"/>
      <c r="I145" s="138"/>
      <c r="J145" s="138"/>
      <c r="K145" s="138"/>
      <c r="L145" s="138"/>
      <c r="M145" s="138"/>
      <c r="N145" s="138"/>
      <c r="O145" s="138"/>
      <c r="P145" s="138"/>
    </row>
    <row r="146">
      <c r="A146" s="138"/>
      <c r="B146" s="138"/>
      <c r="C146" s="138"/>
      <c r="D146" s="138"/>
      <c r="E146" s="138"/>
      <c r="F146" s="138"/>
      <c r="G146" s="138"/>
      <c r="H146" s="138"/>
      <c r="I146" s="138"/>
      <c r="J146" s="138"/>
      <c r="K146" s="138"/>
      <c r="L146" s="138"/>
      <c r="M146" s="138"/>
      <c r="N146" s="138"/>
      <c r="O146" s="138"/>
      <c r="P146" s="138"/>
    </row>
    <row r="147">
      <c r="A147" s="138"/>
      <c r="B147" s="138"/>
      <c r="C147" s="138"/>
      <c r="D147" s="138"/>
      <c r="E147" s="138"/>
      <c r="F147" s="138"/>
      <c r="G147" s="138"/>
      <c r="H147" s="138"/>
      <c r="I147" s="138"/>
      <c r="J147" s="138"/>
      <c r="K147" s="138"/>
      <c r="L147" s="138"/>
      <c r="M147" s="138"/>
      <c r="N147" s="138"/>
      <c r="O147" s="138"/>
      <c r="P147" s="138"/>
    </row>
    <row r="148">
      <c r="A148" s="138"/>
      <c r="B148" s="138"/>
      <c r="C148" s="138"/>
      <c r="D148" s="138"/>
      <c r="E148" s="138"/>
      <c r="F148" s="138"/>
      <c r="G148" s="138"/>
      <c r="H148" s="138"/>
      <c r="I148" s="138"/>
      <c r="J148" s="138"/>
      <c r="K148" s="138"/>
      <c r="L148" s="138"/>
      <c r="M148" s="138"/>
      <c r="N148" s="138"/>
      <c r="O148" s="138"/>
      <c r="P148" s="138"/>
    </row>
    <row r="149">
      <c r="A149" s="138"/>
      <c r="B149" s="138"/>
      <c r="C149" s="138"/>
      <c r="D149" s="138"/>
      <c r="E149" s="138"/>
      <c r="F149" s="138"/>
      <c r="G149" s="138"/>
      <c r="H149" s="138"/>
      <c r="I149" s="138"/>
      <c r="J149" s="138"/>
      <c r="K149" s="138"/>
      <c r="L149" s="138"/>
      <c r="M149" s="138"/>
      <c r="N149" s="138"/>
      <c r="O149" s="138"/>
      <c r="P149" s="138"/>
    </row>
    <row r="150">
      <c r="A150" s="138"/>
      <c r="B150" s="138"/>
      <c r="C150" s="138"/>
      <c r="D150" s="138"/>
      <c r="E150" s="138"/>
      <c r="F150" s="138"/>
      <c r="G150" s="138"/>
      <c r="H150" s="138"/>
      <c r="I150" s="138"/>
      <c r="J150" s="138"/>
      <c r="K150" s="138"/>
      <c r="L150" s="138"/>
      <c r="M150" s="138"/>
      <c r="N150" s="138"/>
      <c r="O150" s="138"/>
      <c r="P150" s="138"/>
    </row>
    <row r="151">
      <c r="A151" s="138"/>
      <c r="B151" s="138"/>
      <c r="C151" s="138"/>
      <c r="D151" s="138"/>
      <c r="E151" s="138"/>
      <c r="F151" s="138"/>
      <c r="G151" s="138"/>
      <c r="H151" s="138"/>
      <c r="I151" s="138"/>
      <c r="J151" s="138"/>
      <c r="K151" s="138"/>
      <c r="L151" s="138"/>
      <c r="M151" s="138"/>
      <c r="N151" s="138"/>
      <c r="O151" s="138"/>
      <c r="P151" s="138"/>
    </row>
    <row r="152">
      <c r="A152" s="138"/>
      <c r="B152" s="138"/>
      <c r="C152" s="138"/>
      <c r="D152" s="138"/>
      <c r="E152" s="138"/>
      <c r="F152" s="138"/>
      <c r="G152" s="138"/>
      <c r="H152" s="138"/>
      <c r="I152" s="138"/>
      <c r="J152" s="138"/>
      <c r="K152" s="138"/>
      <c r="L152" s="138"/>
      <c r="M152" s="138"/>
      <c r="N152" s="138"/>
      <c r="O152" s="138"/>
      <c r="P152" s="138"/>
    </row>
    <row r="153">
      <c r="A153" s="138"/>
      <c r="B153" s="138"/>
      <c r="C153" s="138"/>
      <c r="D153" s="138"/>
      <c r="E153" s="138"/>
      <c r="F153" s="138"/>
      <c r="G153" s="138"/>
      <c r="H153" s="138"/>
      <c r="I153" s="138"/>
      <c r="J153" s="138"/>
      <c r="K153" s="138"/>
      <c r="L153" s="138"/>
      <c r="M153" s="138"/>
      <c r="N153" s="138"/>
      <c r="O153" s="138"/>
      <c r="P153" s="138"/>
    </row>
    <row r="154">
      <c r="A154" s="138"/>
      <c r="B154" s="138"/>
      <c r="C154" s="138"/>
      <c r="D154" s="138"/>
      <c r="E154" s="138"/>
      <c r="F154" s="138"/>
      <c r="G154" s="138"/>
      <c r="H154" s="138"/>
      <c r="I154" s="138"/>
      <c r="J154" s="138"/>
      <c r="K154" s="138"/>
      <c r="L154" s="138"/>
      <c r="M154" s="138"/>
      <c r="N154" s="138"/>
      <c r="O154" s="138"/>
      <c r="P154" s="138"/>
    </row>
    <row r="155">
      <c r="A155" s="138"/>
      <c r="B155" s="138"/>
      <c r="C155" s="138"/>
      <c r="D155" s="138"/>
      <c r="E155" s="138"/>
      <c r="F155" s="138"/>
      <c r="G155" s="138"/>
      <c r="H155" s="138"/>
      <c r="I155" s="138"/>
      <c r="J155" s="138"/>
      <c r="K155" s="138"/>
      <c r="L155" s="138"/>
      <c r="M155" s="138"/>
      <c r="N155" s="138"/>
      <c r="O155" s="138"/>
      <c r="P155" s="138"/>
    </row>
    <row r="156">
      <c r="A156" s="138"/>
      <c r="B156" s="138"/>
      <c r="C156" s="138"/>
      <c r="D156" s="138"/>
      <c r="E156" s="138"/>
      <c r="F156" s="138"/>
      <c r="G156" s="138"/>
      <c r="H156" s="138"/>
      <c r="I156" s="138"/>
      <c r="J156" s="138"/>
      <c r="K156" s="138"/>
      <c r="L156" s="138"/>
      <c r="M156" s="138"/>
      <c r="N156" s="138"/>
      <c r="O156" s="138"/>
      <c r="P156" s="138"/>
    </row>
    <row r="157">
      <c r="A157" s="138"/>
      <c r="B157" s="138"/>
      <c r="C157" s="138"/>
      <c r="D157" s="138"/>
      <c r="E157" s="138"/>
      <c r="F157" s="138"/>
      <c r="G157" s="138"/>
      <c r="H157" s="138"/>
      <c r="I157" s="138"/>
      <c r="J157" s="138"/>
      <c r="K157" s="138"/>
      <c r="L157" s="138"/>
      <c r="M157" s="138"/>
      <c r="N157" s="138"/>
      <c r="O157" s="138"/>
      <c r="P157" s="138"/>
    </row>
    <row r="158">
      <c r="A158" s="138"/>
      <c r="B158" s="138"/>
      <c r="C158" s="138"/>
      <c r="D158" s="138"/>
      <c r="E158" s="138"/>
      <c r="F158" s="138"/>
      <c r="G158" s="138"/>
      <c r="H158" s="138"/>
      <c r="I158" s="138"/>
      <c r="J158" s="138"/>
      <c r="K158" s="138"/>
      <c r="L158" s="138"/>
      <c r="M158" s="138"/>
      <c r="N158" s="138"/>
      <c r="O158" s="138"/>
      <c r="P158" s="138"/>
    </row>
    <row r="159">
      <c r="A159" s="138"/>
      <c r="B159" s="138"/>
      <c r="C159" s="138"/>
      <c r="D159" s="138"/>
      <c r="E159" s="138"/>
      <c r="F159" s="138"/>
      <c r="G159" s="138"/>
      <c r="H159" s="138"/>
      <c r="I159" s="138"/>
      <c r="J159" s="138"/>
      <c r="K159" s="138"/>
      <c r="L159" s="138"/>
      <c r="M159" s="138"/>
      <c r="N159" s="138"/>
      <c r="O159" s="138"/>
      <c r="P159" s="138"/>
    </row>
    <row r="160">
      <c r="A160" s="138"/>
      <c r="B160" s="138"/>
      <c r="C160" s="138"/>
      <c r="D160" s="138"/>
      <c r="E160" s="138"/>
      <c r="F160" s="138"/>
      <c r="G160" s="138"/>
      <c r="H160" s="138"/>
      <c r="I160" s="138"/>
      <c r="J160" s="138"/>
      <c r="K160" s="138"/>
      <c r="L160" s="138"/>
      <c r="M160" s="138"/>
      <c r="N160" s="138"/>
      <c r="O160" s="138"/>
      <c r="P160" s="138"/>
    </row>
    <row r="161">
      <c r="A161" s="138"/>
      <c r="B161" s="138"/>
      <c r="C161" s="138"/>
      <c r="D161" s="138"/>
      <c r="E161" s="138"/>
      <c r="F161" s="138"/>
      <c r="G161" s="138"/>
      <c r="H161" s="138"/>
      <c r="I161" s="138"/>
      <c r="J161" s="138"/>
      <c r="K161" s="138"/>
      <c r="L161" s="138"/>
      <c r="M161" s="138"/>
      <c r="N161" s="138"/>
      <c r="O161" s="138"/>
      <c r="P161" s="138"/>
    </row>
    <row r="162">
      <c r="A162" s="138"/>
      <c r="B162" s="138"/>
      <c r="C162" s="138"/>
      <c r="D162" s="138"/>
      <c r="E162" s="138"/>
      <c r="F162" s="138"/>
      <c r="G162" s="138"/>
      <c r="H162" s="138"/>
      <c r="I162" s="138"/>
      <c r="J162" s="138"/>
      <c r="K162" s="138"/>
      <c r="L162" s="138"/>
      <c r="M162" s="138"/>
      <c r="N162" s="138"/>
      <c r="O162" s="138"/>
      <c r="P162" s="138"/>
    </row>
    <row r="163">
      <c r="A163" s="138"/>
      <c r="B163" s="138"/>
      <c r="C163" s="138"/>
      <c r="D163" s="138"/>
      <c r="E163" s="138"/>
      <c r="F163" s="138"/>
      <c r="G163" s="138"/>
      <c r="H163" s="138"/>
      <c r="I163" s="138"/>
      <c r="J163" s="138"/>
      <c r="K163" s="138"/>
      <c r="L163" s="138"/>
      <c r="M163" s="138"/>
      <c r="N163" s="138"/>
      <c r="O163" s="138"/>
      <c r="P163" s="138"/>
    </row>
    <row r="164">
      <c r="A164" s="138"/>
      <c r="B164" s="138"/>
      <c r="C164" s="138"/>
      <c r="D164" s="138"/>
      <c r="E164" s="138"/>
      <c r="F164" s="138"/>
      <c r="G164" s="138"/>
      <c r="H164" s="138"/>
      <c r="I164" s="138"/>
      <c r="J164" s="138"/>
      <c r="K164" s="138"/>
      <c r="L164" s="138"/>
      <c r="M164" s="138"/>
      <c r="N164" s="138"/>
      <c r="O164" s="138"/>
      <c r="P164" s="138"/>
    </row>
    <row r="165">
      <c r="A165" s="138"/>
      <c r="B165" s="138"/>
      <c r="C165" s="138"/>
      <c r="D165" s="138"/>
      <c r="E165" s="138"/>
      <c r="F165" s="138"/>
      <c r="G165" s="138"/>
      <c r="H165" s="138"/>
      <c r="I165" s="138"/>
      <c r="J165" s="138"/>
      <c r="K165" s="138"/>
      <c r="L165" s="138"/>
      <c r="M165" s="138"/>
      <c r="N165" s="138"/>
      <c r="O165" s="138"/>
      <c r="P165" s="138"/>
    </row>
    <row r="166">
      <c r="A166" s="138"/>
      <c r="B166" s="138"/>
      <c r="C166" s="138"/>
      <c r="D166" s="138"/>
      <c r="E166" s="138"/>
      <c r="F166" s="138"/>
      <c r="G166" s="138"/>
      <c r="H166" s="138"/>
      <c r="I166" s="138"/>
      <c r="J166" s="138"/>
      <c r="K166" s="138"/>
      <c r="L166" s="138"/>
      <c r="M166" s="138"/>
      <c r="N166" s="138"/>
      <c r="O166" s="138"/>
      <c r="P166" s="138"/>
    </row>
    <row r="167">
      <c r="A167" s="138"/>
      <c r="B167" s="138"/>
      <c r="C167" s="138"/>
      <c r="D167" s="138"/>
      <c r="E167" s="138"/>
      <c r="F167" s="138"/>
      <c r="G167" s="138"/>
      <c r="H167" s="138"/>
      <c r="I167" s="138"/>
      <c r="J167" s="138"/>
      <c r="K167" s="138"/>
      <c r="L167" s="138"/>
      <c r="M167" s="138"/>
      <c r="N167" s="138"/>
      <c r="O167" s="138"/>
      <c r="P167" s="138"/>
    </row>
    <row r="168">
      <c r="A168" s="138"/>
      <c r="B168" s="138"/>
      <c r="C168" s="138"/>
      <c r="D168" s="138"/>
      <c r="E168" s="138"/>
      <c r="F168" s="138"/>
      <c r="G168" s="138"/>
      <c r="H168" s="138"/>
      <c r="I168" s="138"/>
      <c r="J168" s="138"/>
      <c r="K168" s="138"/>
      <c r="L168" s="138"/>
      <c r="M168" s="138"/>
      <c r="N168" s="138"/>
      <c r="O168" s="138"/>
      <c r="P168" s="138"/>
    </row>
    <row r="169">
      <c r="A169" s="138"/>
      <c r="B169" s="138"/>
      <c r="C169" s="138"/>
      <c r="D169" s="138"/>
      <c r="E169" s="138"/>
      <c r="F169" s="138"/>
      <c r="G169" s="138"/>
      <c r="H169" s="138"/>
      <c r="I169" s="138"/>
      <c r="J169" s="138"/>
      <c r="K169" s="138"/>
      <c r="L169" s="138"/>
      <c r="M169" s="138"/>
      <c r="N169" s="138"/>
      <c r="O169" s="138"/>
      <c r="P169" s="138"/>
    </row>
    <row r="170">
      <c r="A170" s="138"/>
      <c r="B170" s="138"/>
      <c r="C170" s="138"/>
      <c r="D170" s="138"/>
      <c r="E170" s="138"/>
      <c r="F170" s="138"/>
      <c r="G170" s="138"/>
      <c r="H170" s="138"/>
      <c r="I170" s="138"/>
      <c r="J170" s="138"/>
      <c r="K170" s="138"/>
      <c r="L170" s="138"/>
      <c r="M170" s="138"/>
      <c r="N170" s="138"/>
      <c r="O170" s="138"/>
      <c r="P170" s="138"/>
    </row>
    <row r="171">
      <c r="A171" s="138"/>
      <c r="B171" s="138"/>
      <c r="C171" s="138"/>
      <c r="D171" s="138"/>
      <c r="E171" s="138"/>
      <c r="F171" s="138"/>
      <c r="G171" s="138"/>
      <c r="H171" s="138"/>
      <c r="I171" s="138"/>
      <c r="J171" s="138"/>
      <c r="K171" s="138"/>
      <c r="L171" s="138"/>
      <c r="M171" s="138"/>
      <c r="N171" s="138"/>
      <c r="O171" s="138"/>
      <c r="P171" s="138"/>
    </row>
    <row r="172">
      <c r="A172" s="138"/>
      <c r="B172" s="138"/>
      <c r="C172" s="138"/>
      <c r="D172" s="138"/>
      <c r="E172" s="138"/>
      <c r="F172" s="138"/>
      <c r="G172" s="138"/>
      <c r="H172" s="138"/>
      <c r="I172" s="138"/>
      <c r="J172" s="138"/>
      <c r="K172" s="138"/>
      <c r="L172" s="138"/>
      <c r="M172" s="138"/>
      <c r="N172" s="138"/>
      <c r="O172" s="138"/>
      <c r="P172" s="138"/>
    </row>
    <row r="173">
      <c r="A173" s="138"/>
      <c r="B173" s="138"/>
      <c r="C173" s="138"/>
      <c r="D173" s="138"/>
      <c r="E173" s="138"/>
      <c r="F173" s="138"/>
      <c r="G173" s="138"/>
      <c r="H173" s="138"/>
      <c r="I173" s="138"/>
      <c r="J173" s="138"/>
      <c r="K173" s="138"/>
      <c r="L173" s="138"/>
      <c r="M173" s="138"/>
      <c r="N173" s="138"/>
      <c r="O173" s="138"/>
      <c r="P173" s="138"/>
    </row>
    <row r="174">
      <c r="A174" s="138"/>
      <c r="B174" s="138"/>
      <c r="C174" s="138"/>
      <c r="D174" s="138"/>
      <c r="E174" s="138"/>
      <c r="F174" s="138"/>
      <c r="G174" s="138"/>
      <c r="H174" s="138"/>
      <c r="I174" s="138"/>
      <c r="J174" s="138"/>
      <c r="K174" s="138"/>
      <c r="L174" s="138"/>
      <c r="M174" s="138"/>
      <c r="N174" s="138"/>
      <c r="O174" s="138"/>
      <c r="P174" s="138"/>
    </row>
    <row r="175">
      <c r="A175" s="138"/>
      <c r="B175" s="138"/>
      <c r="C175" s="138"/>
      <c r="D175" s="138"/>
      <c r="E175" s="138"/>
      <c r="F175" s="138"/>
      <c r="G175" s="138"/>
      <c r="H175" s="138"/>
      <c r="I175" s="138"/>
      <c r="J175" s="138"/>
      <c r="K175" s="138"/>
      <c r="L175" s="138"/>
      <c r="M175" s="138"/>
      <c r="N175" s="138"/>
      <c r="O175" s="138"/>
      <c r="P175" s="138"/>
    </row>
    <row r="176">
      <c r="A176" s="138"/>
      <c r="B176" s="138"/>
      <c r="C176" s="138"/>
      <c r="D176" s="138"/>
      <c r="E176" s="138"/>
      <c r="F176" s="138"/>
      <c r="G176" s="138"/>
      <c r="H176" s="138"/>
      <c r="I176" s="138"/>
      <c r="J176" s="138"/>
      <c r="K176" s="138"/>
      <c r="L176" s="138"/>
      <c r="M176" s="138"/>
      <c r="N176" s="138"/>
      <c r="O176" s="138"/>
      <c r="P176" s="138"/>
    </row>
    <row r="177">
      <c r="A177" s="138"/>
      <c r="B177" s="138"/>
      <c r="C177" s="138"/>
      <c r="D177" s="138"/>
      <c r="E177" s="138"/>
      <c r="F177" s="138"/>
      <c r="G177" s="138"/>
      <c r="H177" s="138"/>
      <c r="I177" s="138"/>
      <c r="J177" s="138"/>
      <c r="K177" s="138"/>
      <c r="L177" s="138"/>
      <c r="M177" s="138"/>
      <c r="N177" s="138"/>
      <c r="O177" s="138"/>
      <c r="P177" s="138"/>
    </row>
    <row r="178">
      <c r="A178" s="138"/>
      <c r="B178" s="138"/>
      <c r="C178" s="138"/>
      <c r="D178" s="138"/>
      <c r="E178" s="138"/>
      <c r="F178" s="138"/>
      <c r="G178" s="138"/>
      <c r="H178" s="138"/>
      <c r="I178" s="138"/>
      <c r="J178" s="138"/>
      <c r="K178" s="138"/>
      <c r="L178" s="138"/>
      <c r="M178" s="138"/>
      <c r="N178" s="138"/>
      <c r="O178" s="138"/>
      <c r="P178" s="138"/>
    </row>
    <row r="179">
      <c r="A179" s="138"/>
      <c r="B179" s="138"/>
      <c r="C179" s="138"/>
      <c r="D179" s="138"/>
      <c r="E179" s="138"/>
      <c r="F179" s="138"/>
      <c r="G179" s="138"/>
      <c r="H179" s="138"/>
      <c r="I179" s="138"/>
      <c r="J179" s="138"/>
      <c r="K179" s="138"/>
      <c r="L179" s="138"/>
      <c r="M179" s="138"/>
      <c r="N179" s="138"/>
      <c r="O179" s="138"/>
      <c r="P179" s="138"/>
    </row>
    <row r="180">
      <c r="A180" s="138"/>
      <c r="B180" s="138"/>
      <c r="C180" s="138"/>
      <c r="D180" s="138"/>
      <c r="E180" s="138"/>
      <c r="F180" s="138"/>
      <c r="G180" s="138"/>
      <c r="H180" s="138"/>
      <c r="I180" s="138"/>
      <c r="J180" s="138"/>
      <c r="K180" s="138"/>
      <c r="L180" s="138"/>
      <c r="M180" s="138"/>
      <c r="N180" s="138"/>
      <c r="O180" s="138"/>
      <c r="P180" s="138"/>
    </row>
    <row r="181">
      <c r="A181" s="138"/>
      <c r="B181" s="138"/>
      <c r="C181" s="138"/>
      <c r="D181" s="138"/>
      <c r="E181" s="138"/>
      <c r="F181" s="138"/>
      <c r="G181" s="138"/>
      <c r="H181" s="138"/>
      <c r="I181" s="138"/>
      <c r="J181" s="138"/>
      <c r="K181" s="138"/>
      <c r="L181" s="138"/>
      <c r="M181" s="138"/>
      <c r="N181" s="138"/>
      <c r="O181" s="138"/>
      <c r="P181" s="138"/>
    </row>
    <row r="182">
      <c r="A182" s="138"/>
      <c r="B182" s="138"/>
      <c r="C182" s="138"/>
      <c r="D182" s="138"/>
      <c r="E182" s="138"/>
      <c r="F182" s="138"/>
      <c r="G182" s="138"/>
      <c r="H182" s="138"/>
      <c r="I182" s="138"/>
      <c r="J182" s="138"/>
      <c r="K182" s="138"/>
      <c r="L182" s="138"/>
      <c r="M182" s="138"/>
      <c r="N182" s="138"/>
      <c r="O182" s="138"/>
      <c r="P182" s="138"/>
    </row>
    <row r="183">
      <c r="A183" s="138"/>
      <c r="B183" s="138"/>
      <c r="C183" s="138"/>
      <c r="D183" s="138"/>
      <c r="E183" s="138"/>
      <c r="F183" s="138"/>
      <c r="G183" s="138"/>
      <c r="H183" s="138"/>
      <c r="I183" s="138"/>
      <c r="J183" s="138"/>
      <c r="K183" s="138"/>
      <c r="L183" s="138"/>
      <c r="M183" s="138"/>
      <c r="N183" s="138"/>
      <c r="O183" s="138"/>
      <c r="P183" s="138"/>
    </row>
    <row r="184">
      <c r="A184" s="138"/>
      <c r="B184" s="138"/>
      <c r="C184" s="138"/>
      <c r="D184" s="138"/>
      <c r="E184" s="138"/>
      <c r="F184" s="138"/>
      <c r="G184" s="138"/>
      <c r="H184" s="138"/>
      <c r="I184" s="138"/>
      <c r="J184" s="138"/>
      <c r="K184" s="138"/>
      <c r="L184" s="138"/>
      <c r="M184" s="138"/>
      <c r="N184" s="138"/>
      <c r="O184" s="138"/>
      <c r="P184" s="138"/>
    </row>
    <row r="185">
      <c r="A185" s="138"/>
      <c r="B185" s="138"/>
      <c r="C185" s="138"/>
      <c r="D185" s="138"/>
      <c r="E185" s="138"/>
      <c r="F185" s="138"/>
      <c r="G185" s="138"/>
      <c r="H185" s="138"/>
      <c r="I185" s="138"/>
      <c r="J185" s="138"/>
      <c r="K185" s="138"/>
      <c r="L185" s="138"/>
      <c r="M185" s="138"/>
      <c r="N185" s="138"/>
      <c r="O185" s="138"/>
      <c r="P185" s="138"/>
    </row>
    <row r="186">
      <c r="A186" s="138"/>
      <c r="B186" s="138"/>
      <c r="C186" s="138"/>
      <c r="D186" s="138"/>
      <c r="E186" s="138"/>
      <c r="F186" s="138"/>
      <c r="G186" s="138"/>
      <c r="H186" s="138"/>
      <c r="I186" s="138"/>
      <c r="J186" s="138"/>
      <c r="K186" s="138"/>
      <c r="L186" s="138"/>
      <c r="M186" s="138"/>
      <c r="N186" s="138"/>
      <c r="O186" s="138"/>
      <c r="P186" s="138"/>
    </row>
    <row r="187">
      <c r="A187" s="138"/>
      <c r="B187" s="138"/>
      <c r="C187" s="138"/>
      <c r="D187" s="138"/>
      <c r="E187" s="138"/>
      <c r="F187" s="138"/>
      <c r="G187" s="138"/>
      <c r="H187" s="138"/>
      <c r="I187" s="138"/>
      <c r="J187" s="138"/>
      <c r="K187" s="138"/>
      <c r="L187" s="138"/>
      <c r="M187" s="138"/>
      <c r="N187" s="138"/>
      <c r="O187" s="138"/>
      <c r="P187" s="138"/>
    </row>
    <row r="188">
      <c r="A188" s="138"/>
      <c r="B188" s="138"/>
      <c r="C188" s="138"/>
      <c r="D188" s="138"/>
      <c r="E188" s="138"/>
      <c r="F188" s="138"/>
      <c r="G188" s="138"/>
      <c r="H188" s="138"/>
      <c r="I188" s="138"/>
      <c r="J188" s="138"/>
      <c r="K188" s="138"/>
      <c r="L188" s="138"/>
      <c r="M188" s="138"/>
      <c r="N188" s="138"/>
      <c r="O188" s="138"/>
      <c r="P188" s="138"/>
    </row>
    <row r="189">
      <c r="A189" s="138"/>
      <c r="B189" s="138"/>
      <c r="C189" s="138"/>
      <c r="D189" s="138"/>
      <c r="E189" s="138"/>
      <c r="F189" s="138"/>
      <c r="G189" s="138"/>
      <c r="H189" s="138"/>
      <c r="I189" s="138"/>
      <c r="J189" s="138"/>
      <c r="K189" s="138"/>
      <c r="L189" s="138"/>
      <c r="M189" s="138"/>
      <c r="N189" s="138"/>
      <c r="O189" s="138"/>
      <c r="P189" s="138"/>
    </row>
    <row r="190">
      <c r="A190" s="138"/>
      <c r="B190" s="138"/>
      <c r="C190" s="138"/>
      <c r="D190" s="138"/>
      <c r="E190" s="138"/>
      <c r="F190" s="138"/>
      <c r="G190" s="138"/>
      <c r="H190" s="138"/>
      <c r="I190" s="138"/>
      <c r="J190" s="138"/>
      <c r="K190" s="138"/>
      <c r="L190" s="138"/>
      <c r="M190" s="138"/>
      <c r="N190" s="138"/>
      <c r="O190" s="138"/>
      <c r="P190" s="138"/>
    </row>
    <row r="191">
      <c r="A191" s="138"/>
      <c r="B191" s="138"/>
      <c r="C191" s="138"/>
      <c r="D191" s="138"/>
      <c r="E191" s="138"/>
      <c r="F191" s="138"/>
      <c r="G191" s="138"/>
      <c r="H191" s="138"/>
      <c r="I191" s="138"/>
      <c r="J191" s="138"/>
      <c r="K191" s="138"/>
      <c r="L191" s="138"/>
      <c r="M191" s="138"/>
      <c r="N191" s="138"/>
      <c r="O191" s="138"/>
      <c r="P191" s="138"/>
    </row>
    <row r="192">
      <c r="A192" s="138"/>
      <c r="B192" s="138"/>
      <c r="C192" s="138"/>
      <c r="D192" s="138"/>
      <c r="E192" s="138"/>
      <c r="F192" s="138"/>
      <c r="G192" s="138"/>
      <c r="H192" s="138"/>
      <c r="I192" s="138"/>
      <c r="J192" s="138"/>
      <c r="K192" s="138"/>
      <c r="L192" s="138"/>
      <c r="M192" s="138"/>
      <c r="N192" s="138"/>
      <c r="O192" s="138"/>
      <c r="P192" s="138"/>
    </row>
    <row r="193">
      <c r="A193" s="138"/>
      <c r="B193" s="138"/>
      <c r="C193" s="138"/>
      <c r="D193" s="138"/>
      <c r="E193" s="138"/>
      <c r="F193" s="138"/>
      <c r="G193" s="138"/>
      <c r="H193" s="138"/>
      <c r="I193" s="138"/>
      <c r="J193" s="138"/>
      <c r="K193" s="138"/>
      <c r="L193" s="138"/>
      <c r="M193" s="138"/>
      <c r="N193" s="138"/>
      <c r="O193" s="138"/>
      <c r="P193" s="138"/>
    </row>
    <row r="194">
      <c r="A194" s="138"/>
      <c r="B194" s="138"/>
      <c r="C194" s="138"/>
      <c r="D194" s="138"/>
      <c r="E194" s="138"/>
      <c r="F194" s="138"/>
      <c r="G194" s="138"/>
      <c r="H194" s="138"/>
      <c r="I194" s="138"/>
      <c r="J194" s="138"/>
      <c r="K194" s="138"/>
      <c r="L194" s="138"/>
      <c r="M194" s="138"/>
      <c r="N194" s="138"/>
      <c r="O194" s="138"/>
      <c r="P194" s="138"/>
    </row>
    <row r="195">
      <c r="A195" s="138"/>
      <c r="B195" s="138"/>
      <c r="C195" s="138"/>
      <c r="D195" s="138"/>
      <c r="E195" s="138"/>
      <c r="F195" s="138"/>
      <c r="G195" s="138"/>
      <c r="H195" s="138"/>
      <c r="I195" s="138"/>
      <c r="J195" s="138"/>
      <c r="K195" s="138"/>
      <c r="L195" s="138"/>
      <c r="M195" s="138"/>
      <c r="N195" s="138"/>
      <c r="O195" s="138"/>
      <c r="P195" s="138"/>
    </row>
    <row r="196">
      <c r="A196" s="138"/>
      <c r="B196" s="138"/>
      <c r="C196" s="138"/>
      <c r="D196" s="138"/>
      <c r="E196" s="138"/>
      <c r="F196" s="138"/>
      <c r="G196" s="138"/>
      <c r="H196" s="138"/>
      <c r="I196" s="138"/>
      <c r="J196" s="138"/>
      <c r="K196" s="138"/>
      <c r="L196" s="138"/>
      <c r="M196" s="138"/>
      <c r="N196" s="138"/>
      <c r="O196" s="138"/>
      <c r="P196" s="138"/>
    </row>
    <row r="197">
      <c r="A197" s="138"/>
      <c r="B197" s="138"/>
      <c r="C197" s="138"/>
      <c r="D197" s="138"/>
      <c r="E197" s="138"/>
      <c r="F197" s="138"/>
      <c r="G197" s="138"/>
      <c r="H197" s="138"/>
      <c r="I197" s="138"/>
      <c r="J197" s="138"/>
      <c r="K197" s="138"/>
      <c r="L197" s="138"/>
      <c r="M197" s="138"/>
      <c r="N197" s="138"/>
      <c r="O197" s="138"/>
      <c r="P197" s="138"/>
    </row>
    <row r="198">
      <c r="A198" s="138"/>
      <c r="B198" s="138"/>
      <c r="C198" s="138"/>
      <c r="D198" s="138"/>
      <c r="E198" s="138"/>
      <c r="F198" s="138"/>
      <c r="G198" s="138"/>
      <c r="H198" s="138"/>
      <c r="I198" s="138"/>
      <c r="J198" s="138"/>
      <c r="K198" s="138"/>
      <c r="L198" s="138"/>
      <c r="M198" s="138"/>
      <c r="N198" s="138"/>
      <c r="O198" s="138"/>
      <c r="P198" s="138"/>
    </row>
    <row r="199">
      <c r="A199" s="138"/>
      <c r="B199" s="138"/>
      <c r="C199" s="138"/>
      <c r="D199" s="138"/>
      <c r="E199" s="138"/>
      <c r="F199" s="138"/>
      <c r="G199" s="138"/>
      <c r="H199" s="138"/>
      <c r="I199" s="138"/>
      <c r="J199" s="138"/>
      <c r="K199" s="138"/>
      <c r="L199" s="138"/>
      <c r="M199" s="138"/>
      <c r="N199" s="138"/>
      <c r="O199" s="138"/>
      <c r="P199" s="138"/>
    </row>
    <row r="200">
      <c r="A200" s="138"/>
      <c r="B200" s="138"/>
      <c r="C200" s="138"/>
      <c r="D200" s="138"/>
      <c r="E200" s="138"/>
      <c r="F200" s="138"/>
      <c r="G200" s="138"/>
      <c r="H200" s="138"/>
      <c r="I200" s="138"/>
      <c r="J200" s="138"/>
      <c r="K200" s="138"/>
      <c r="L200" s="138"/>
      <c r="M200" s="138"/>
      <c r="N200" s="138"/>
      <c r="O200" s="138"/>
      <c r="P200" s="138"/>
    </row>
    <row r="201">
      <c r="A201" s="138"/>
      <c r="B201" s="138"/>
      <c r="C201" s="138"/>
      <c r="D201" s="138"/>
      <c r="E201" s="138"/>
      <c r="F201" s="138"/>
      <c r="G201" s="138"/>
      <c r="H201" s="138"/>
      <c r="I201" s="138"/>
      <c r="J201" s="138"/>
      <c r="K201" s="138"/>
      <c r="L201" s="138"/>
      <c r="M201" s="138"/>
      <c r="N201" s="138"/>
      <c r="O201" s="138"/>
      <c r="P201" s="138"/>
    </row>
    <row r="202">
      <c r="A202" s="138"/>
      <c r="B202" s="138"/>
      <c r="C202" s="138"/>
      <c r="D202" s="138"/>
      <c r="E202" s="138"/>
      <c r="F202" s="138"/>
      <c r="G202" s="138"/>
      <c r="H202" s="138"/>
      <c r="I202" s="138"/>
      <c r="J202" s="138"/>
      <c r="K202" s="138"/>
      <c r="L202" s="138"/>
      <c r="M202" s="138"/>
      <c r="N202" s="138"/>
      <c r="O202" s="138"/>
      <c r="P202" s="138"/>
    </row>
    <row r="203">
      <c r="A203" s="138"/>
      <c r="B203" s="138"/>
      <c r="C203" s="138"/>
      <c r="D203" s="138"/>
      <c r="E203" s="138"/>
      <c r="F203" s="138"/>
      <c r="G203" s="138"/>
      <c r="H203" s="138"/>
      <c r="I203" s="138"/>
      <c r="J203" s="138"/>
      <c r="K203" s="138"/>
      <c r="L203" s="138"/>
      <c r="M203" s="138"/>
      <c r="N203" s="138"/>
      <c r="O203" s="138"/>
      <c r="P203" s="138"/>
    </row>
    <row r="204">
      <c r="A204" s="138"/>
      <c r="B204" s="138"/>
      <c r="C204" s="138"/>
      <c r="D204" s="138"/>
      <c r="E204" s="138"/>
      <c r="F204" s="138"/>
      <c r="G204" s="138"/>
      <c r="H204" s="138"/>
      <c r="I204" s="138"/>
      <c r="J204" s="138"/>
      <c r="K204" s="138"/>
      <c r="L204" s="138"/>
      <c r="M204" s="138"/>
      <c r="N204" s="138"/>
      <c r="O204" s="138"/>
      <c r="P204" s="138"/>
    </row>
    <row r="205">
      <c r="A205" s="138"/>
      <c r="B205" s="138"/>
      <c r="C205" s="138"/>
      <c r="D205" s="138"/>
      <c r="E205" s="138"/>
      <c r="F205" s="138"/>
      <c r="G205" s="138"/>
      <c r="H205" s="138"/>
      <c r="I205" s="138"/>
      <c r="J205" s="138"/>
      <c r="K205" s="138"/>
      <c r="L205" s="138"/>
      <c r="M205" s="138"/>
      <c r="N205" s="138"/>
      <c r="O205" s="138"/>
      <c r="P205" s="138"/>
    </row>
    <row r="206">
      <c r="A206" s="138"/>
      <c r="B206" s="138"/>
      <c r="C206" s="138"/>
      <c r="D206" s="138"/>
      <c r="E206" s="138"/>
      <c r="F206" s="138"/>
      <c r="G206" s="138"/>
      <c r="H206" s="138"/>
      <c r="I206" s="138"/>
      <c r="J206" s="138"/>
      <c r="K206" s="138"/>
      <c r="L206" s="138"/>
      <c r="M206" s="138"/>
      <c r="N206" s="138"/>
      <c r="O206" s="138"/>
      <c r="P206" s="138"/>
    </row>
    <row r="207">
      <c r="A207" s="138"/>
      <c r="B207" s="138"/>
      <c r="C207" s="138"/>
      <c r="D207" s="138"/>
      <c r="E207" s="138"/>
      <c r="F207" s="138"/>
      <c r="G207" s="138"/>
      <c r="H207" s="138"/>
      <c r="I207" s="138"/>
      <c r="J207" s="138"/>
      <c r="K207" s="138"/>
      <c r="L207" s="138"/>
      <c r="M207" s="138"/>
      <c r="N207" s="138"/>
      <c r="O207" s="138"/>
      <c r="P207" s="138"/>
    </row>
    <row r="208">
      <c r="A208" s="138"/>
      <c r="B208" s="138"/>
      <c r="C208" s="138"/>
      <c r="D208" s="138"/>
      <c r="E208" s="138"/>
      <c r="F208" s="138"/>
      <c r="G208" s="138"/>
      <c r="H208" s="138"/>
      <c r="I208" s="138"/>
      <c r="J208" s="138"/>
      <c r="K208" s="138"/>
      <c r="L208" s="138"/>
      <c r="M208" s="138"/>
      <c r="N208" s="138"/>
      <c r="O208" s="138"/>
      <c r="P208" s="138"/>
    </row>
    <row r="209">
      <c r="A209" s="138"/>
      <c r="B209" s="138"/>
      <c r="C209" s="138"/>
      <c r="D209" s="138"/>
      <c r="E209" s="138"/>
      <c r="F209" s="138"/>
      <c r="G209" s="138"/>
      <c r="H209" s="138"/>
      <c r="I209" s="138"/>
      <c r="J209" s="138"/>
      <c r="K209" s="138"/>
      <c r="L209" s="138"/>
      <c r="M209" s="138"/>
      <c r="N209" s="138"/>
      <c r="O209" s="138"/>
      <c r="P209" s="138"/>
    </row>
    <row r="210">
      <c r="A210" s="138"/>
      <c r="B210" s="138"/>
      <c r="C210" s="138"/>
      <c r="D210" s="138"/>
      <c r="E210" s="138"/>
      <c r="F210" s="138"/>
      <c r="G210" s="138"/>
      <c r="H210" s="138"/>
      <c r="I210" s="138"/>
      <c r="J210" s="138"/>
      <c r="K210" s="138"/>
      <c r="L210" s="138"/>
      <c r="M210" s="138"/>
      <c r="N210" s="138"/>
      <c r="O210" s="138"/>
      <c r="P210" s="138"/>
    </row>
    <row r="211">
      <c r="A211" s="138"/>
      <c r="B211" s="138"/>
      <c r="C211" s="138"/>
      <c r="D211" s="138"/>
      <c r="E211" s="138"/>
      <c r="F211" s="138"/>
      <c r="G211" s="138"/>
      <c r="H211" s="138"/>
      <c r="I211" s="138"/>
      <c r="J211" s="138"/>
      <c r="K211" s="138"/>
      <c r="L211" s="138"/>
      <c r="M211" s="138"/>
      <c r="N211" s="138"/>
      <c r="O211" s="138"/>
      <c r="P211" s="138"/>
    </row>
    <row r="212">
      <c r="A212" s="138"/>
      <c r="B212" s="138"/>
      <c r="C212" s="138"/>
      <c r="D212" s="138"/>
      <c r="E212" s="138"/>
      <c r="F212" s="138"/>
      <c r="G212" s="138"/>
      <c r="H212" s="138"/>
      <c r="I212" s="138"/>
      <c r="J212" s="138"/>
      <c r="K212" s="138"/>
      <c r="L212" s="138"/>
      <c r="M212" s="138"/>
      <c r="N212" s="138"/>
      <c r="O212" s="138"/>
      <c r="P212" s="138"/>
    </row>
    <row r="213">
      <c r="A213" s="138"/>
      <c r="B213" s="138"/>
      <c r="C213" s="138"/>
      <c r="D213" s="138"/>
      <c r="E213" s="138"/>
      <c r="F213" s="138"/>
      <c r="G213" s="138"/>
      <c r="H213" s="138"/>
      <c r="I213" s="138"/>
      <c r="J213" s="138"/>
      <c r="K213" s="138"/>
      <c r="L213" s="138"/>
      <c r="M213" s="138"/>
      <c r="N213" s="138"/>
      <c r="O213" s="138"/>
      <c r="P213" s="138"/>
    </row>
    <row r="214">
      <c r="A214" s="138"/>
      <c r="B214" s="138"/>
      <c r="C214" s="138"/>
      <c r="D214" s="138"/>
      <c r="E214" s="138"/>
      <c r="F214" s="138"/>
      <c r="G214" s="138"/>
      <c r="H214" s="138"/>
      <c r="I214" s="138"/>
      <c r="J214" s="138"/>
      <c r="K214" s="138"/>
      <c r="L214" s="138"/>
      <c r="M214" s="138"/>
      <c r="N214" s="138"/>
      <c r="O214" s="138"/>
      <c r="P214" s="138"/>
    </row>
    <row r="215">
      <c r="A215" s="138"/>
      <c r="B215" s="138"/>
      <c r="C215" s="138"/>
      <c r="D215" s="138"/>
      <c r="E215" s="138"/>
      <c r="F215" s="138"/>
      <c r="G215" s="138"/>
      <c r="H215" s="138"/>
      <c r="I215" s="138"/>
      <c r="J215" s="138"/>
      <c r="K215" s="138"/>
      <c r="L215" s="138"/>
      <c r="M215" s="138"/>
      <c r="N215" s="138"/>
      <c r="O215" s="138"/>
      <c r="P215" s="138"/>
    </row>
    <row r="216">
      <c r="A216" s="138"/>
      <c r="B216" s="138"/>
      <c r="C216" s="138"/>
      <c r="D216" s="138"/>
      <c r="E216" s="138"/>
      <c r="F216" s="138"/>
      <c r="G216" s="138"/>
      <c r="H216" s="138"/>
      <c r="I216" s="138"/>
      <c r="J216" s="138"/>
      <c r="K216" s="138"/>
      <c r="L216" s="138"/>
      <c r="M216" s="138"/>
      <c r="N216" s="138"/>
      <c r="O216" s="138"/>
      <c r="P216" s="138"/>
    </row>
    <row r="217">
      <c r="A217" s="138"/>
      <c r="B217" s="138"/>
      <c r="C217" s="138"/>
      <c r="D217" s="138"/>
      <c r="E217" s="138"/>
      <c r="F217" s="138"/>
      <c r="G217" s="138"/>
      <c r="H217" s="138"/>
      <c r="I217" s="138"/>
      <c r="J217" s="138"/>
      <c r="K217" s="138"/>
      <c r="L217" s="138"/>
      <c r="M217" s="138"/>
      <c r="N217" s="138"/>
      <c r="O217" s="138"/>
      <c r="P217" s="138"/>
    </row>
    <row r="218">
      <c r="A218" s="138"/>
      <c r="B218" s="138"/>
      <c r="C218" s="138"/>
      <c r="D218" s="138"/>
      <c r="E218" s="138"/>
      <c r="F218" s="138"/>
      <c r="G218" s="138"/>
      <c r="H218" s="138"/>
      <c r="I218" s="138"/>
      <c r="J218" s="138"/>
      <c r="K218" s="138"/>
      <c r="L218" s="138"/>
      <c r="M218" s="138"/>
      <c r="N218" s="138"/>
      <c r="O218" s="138"/>
      <c r="P218" s="138"/>
    </row>
    <row r="219">
      <c r="A219" s="138"/>
      <c r="B219" s="138"/>
      <c r="C219" s="138"/>
      <c r="D219" s="138"/>
      <c r="E219" s="138"/>
      <c r="F219" s="138"/>
      <c r="G219" s="138"/>
      <c r="H219" s="138"/>
      <c r="I219" s="138"/>
      <c r="J219" s="138"/>
      <c r="K219" s="138"/>
      <c r="L219" s="138"/>
      <c r="M219" s="138"/>
      <c r="N219" s="138"/>
      <c r="O219" s="138"/>
      <c r="P219" s="138"/>
    </row>
    <row r="220">
      <c r="A220" s="138"/>
      <c r="B220" s="138"/>
      <c r="C220" s="138"/>
      <c r="D220" s="138"/>
      <c r="E220" s="138"/>
      <c r="F220" s="138"/>
      <c r="G220" s="138"/>
      <c r="H220" s="138"/>
      <c r="I220" s="138"/>
      <c r="J220" s="138"/>
      <c r="K220" s="138"/>
      <c r="L220" s="138"/>
      <c r="M220" s="138"/>
      <c r="N220" s="138"/>
      <c r="O220" s="138"/>
      <c r="P220" s="138"/>
    </row>
    <row r="221">
      <c r="A221" s="138"/>
      <c r="B221" s="138"/>
      <c r="C221" s="138"/>
      <c r="D221" s="138"/>
      <c r="E221" s="138"/>
      <c r="F221" s="138"/>
      <c r="G221" s="138"/>
      <c r="H221" s="138"/>
      <c r="I221" s="138"/>
      <c r="J221" s="138"/>
      <c r="K221" s="138"/>
      <c r="L221" s="138"/>
      <c r="M221" s="138"/>
      <c r="N221" s="138"/>
      <c r="O221" s="138"/>
      <c r="P221" s="138"/>
    </row>
    <row r="222">
      <c r="A222" s="138"/>
      <c r="B222" s="138"/>
      <c r="C222" s="138"/>
      <c r="D222" s="138"/>
      <c r="E222" s="138"/>
      <c r="F222" s="138"/>
      <c r="G222" s="138"/>
      <c r="H222" s="138"/>
      <c r="I222" s="138"/>
      <c r="J222" s="138"/>
      <c r="K222" s="138"/>
      <c r="L222" s="138"/>
      <c r="M222" s="138"/>
      <c r="N222" s="138"/>
      <c r="O222" s="138"/>
      <c r="P222" s="138"/>
    </row>
    <row r="223">
      <c r="A223" s="138"/>
      <c r="B223" s="138"/>
      <c r="C223" s="138"/>
      <c r="D223" s="138"/>
      <c r="E223" s="138"/>
      <c r="F223" s="138"/>
      <c r="G223" s="138"/>
      <c r="H223" s="138"/>
      <c r="I223" s="138"/>
      <c r="J223" s="138"/>
      <c r="K223" s="138"/>
      <c r="L223" s="138"/>
      <c r="M223" s="138"/>
      <c r="N223" s="138"/>
      <c r="O223" s="138"/>
      <c r="P223" s="138"/>
    </row>
    <row r="224">
      <c r="A224" s="138"/>
      <c r="B224" s="138"/>
      <c r="C224" s="138"/>
      <c r="D224" s="138"/>
      <c r="E224" s="138"/>
      <c r="F224" s="138"/>
      <c r="G224" s="138"/>
      <c r="H224" s="138"/>
      <c r="I224" s="138"/>
      <c r="J224" s="138"/>
      <c r="K224" s="138"/>
      <c r="L224" s="138"/>
      <c r="M224" s="138"/>
      <c r="N224" s="138"/>
      <c r="O224" s="138"/>
      <c r="P224" s="138"/>
    </row>
    <row r="225">
      <c r="A225" s="138"/>
      <c r="B225" s="138"/>
      <c r="C225" s="138"/>
      <c r="D225" s="138"/>
      <c r="E225" s="138"/>
      <c r="F225" s="138"/>
      <c r="G225" s="138"/>
      <c r="H225" s="138"/>
      <c r="I225" s="138"/>
      <c r="J225" s="138"/>
      <c r="K225" s="138"/>
      <c r="L225" s="138"/>
      <c r="M225" s="138"/>
      <c r="N225" s="138"/>
      <c r="O225" s="138"/>
      <c r="P225" s="138"/>
    </row>
    <row r="226">
      <c r="A226" s="138"/>
      <c r="B226" s="138"/>
      <c r="C226" s="138"/>
      <c r="D226" s="138"/>
      <c r="E226" s="138"/>
      <c r="F226" s="138"/>
      <c r="G226" s="138"/>
      <c r="H226" s="138"/>
      <c r="I226" s="138"/>
      <c r="J226" s="138"/>
      <c r="K226" s="138"/>
      <c r="L226" s="138"/>
      <c r="M226" s="138"/>
      <c r="N226" s="138"/>
      <c r="O226" s="138"/>
      <c r="P226" s="138"/>
    </row>
    <row r="227">
      <c r="A227" s="138"/>
      <c r="B227" s="138"/>
      <c r="C227" s="138"/>
      <c r="D227" s="138"/>
      <c r="E227" s="138"/>
      <c r="F227" s="138"/>
      <c r="G227" s="138"/>
      <c r="H227" s="138"/>
      <c r="I227" s="138"/>
      <c r="J227" s="138"/>
      <c r="K227" s="138"/>
      <c r="L227" s="138"/>
      <c r="M227" s="138"/>
      <c r="N227" s="138"/>
      <c r="O227" s="138"/>
      <c r="P227" s="138"/>
    </row>
    <row r="228">
      <c r="A228" s="138"/>
      <c r="B228" s="138"/>
      <c r="C228" s="138"/>
      <c r="D228" s="138"/>
      <c r="E228" s="138"/>
      <c r="F228" s="138"/>
      <c r="G228" s="138"/>
      <c r="H228" s="138"/>
      <c r="I228" s="138"/>
      <c r="J228" s="138"/>
      <c r="K228" s="138"/>
      <c r="L228" s="138"/>
      <c r="M228" s="138"/>
      <c r="N228" s="138"/>
      <c r="O228" s="138"/>
      <c r="P228" s="138"/>
    </row>
    <row r="229">
      <c r="A229" s="138"/>
      <c r="B229" s="138"/>
      <c r="C229" s="138"/>
      <c r="D229" s="138"/>
      <c r="E229" s="138"/>
      <c r="F229" s="138"/>
      <c r="G229" s="138"/>
      <c r="H229" s="138"/>
      <c r="I229" s="138"/>
      <c r="J229" s="138"/>
      <c r="K229" s="138"/>
      <c r="L229" s="138"/>
      <c r="M229" s="138"/>
      <c r="N229" s="138"/>
      <c r="O229" s="138"/>
      <c r="P229" s="138"/>
    </row>
    <row r="230">
      <c r="A230" s="138"/>
      <c r="B230" s="138"/>
      <c r="C230" s="138"/>
      <c r="D230" s="138"/>
      <c r="E230" s="138"/>
      <c r="F230" s="138"/>
      <c r="G230" s="138"/>
      <c r="H230" s="138"/>
      <c r="I230" s="138"/>
      <c r="J230" s="138"/>
      <c r="K230" s="138"/>
      <c r="L230" s="138"/>
      <c r="M230" s="138"/>
      <c r="N230" s="138"/>
      <c r="O230" s="138"/>
      <c r="P230" s="138"/>
    </row>
    <row r="231">
      <c r="A231" s="138"/>
      <c r="B231" s="138"/>
      <c r="C231" s="138"/>
      <c r="D231" s="138"/>
      <c r="E231" s="138"/>
      <c r="F231" s="138"/>
      <c r="G231" s="138"/>
      <c r="H231" s="138"/>
      <c r="I231" s="138"/>
      <c r="J231" s="138"/>
      <c r="K231" s="138"/>
      <c r="L231" s="138"/>
      <c r="M231" s="138"/>
      <c r="N231" s="138"/>
      <c r="O231" s="138"/>
      <c r="P231" s="138"/>
    </row>
    <row r="232">
      <c r="A232" s="138"/>
      <c r="B232" s="138"/>
      <c r="C232" s="138"/>
      <c r="D232" s="138"/>
      <c r="E232" s="138"/>
      <c r="F232" s="138"/>
      <c r="G232" s="138"/>
      <c r="H232" s="138"/>
      <c r="I232" s="138"/>
      <c r="J232" s="138"/>
      <c r="K232" s="138"/>
      <c r="L232" s="138"/>
      <c r="M232" s="138"/>
      <c r="N232" s="138"/>
      <c r="O232" s="138"/>
      <c r="P232" s="138"/>
    </row>
    <row r="233">
      <c r="A233" s="138"/>
      <c r="B233" s="138"/>
      <c r="C233" s="138"/>
      <c r="D233" s="138"/>
      <c r="E233" s="138"/>
      <c r="F233" s="138"/>
      <c r="G233" s="138"/>
      <c r="H233" s="138"/>
      <c r="I233" s="138"/>
      <c r="J233" s="138"/>
      <c r="K233" s="138"/>
      <c r="L233" s="138"/>
      <c r="M233" s="138"/>
      <c r="N233" s="138"/>
      <c r="O233" s="138"/>
      <c r="P233" s="138"/>
    </row>
    <row r="234">
      <c r="A234" s="138"/>
      <c r="B234" s="138"/>
      <c r="C234" s="138"/>
      <c r="D234" s="138"/>
      <c r="E234" s="138"/>
      <c r="F234" s="138"/>
      <c r="G234" s="138"/>
      <c r="H234" s="138"/>
      <c r="I234" s="138"/>
      <c r="J234" s="138"/>
      <c r="K234" s="138"/>
      <c r="L234" s="138"/>
      <c r="M234" s="138"/>
      <c r="N234" s="138"/>
      <c r="O234" s="138"/>
      <c r="P234" s="138"/>
    </row>
    <row r="235">
      <c r="A235" s="138"/>
      <c r="B235" s="138"/>
      <c r="C235" s="138"/>
      <c r="D235" s="138"/>
      <c r="E235" s="138"/>
      <c r="F235" s="138"/>
      <c r="G235" s="138"/>
      <c r="H235" s="138"/>
      <c r="I235" s="138"/>
      <c r="J235" s="138"/>
      <c r="K235" s="138"/>
      <c r="L235" s="138"/>
      <c r="M235" s="138"/>
      <c r="N235" s="138"/>
      <c r="O235" s="138"/>
      <c r="P235" s="138"/>
    </row>
    <row r="236">
      <c r="A236" s="138"/>
      <c r="B236" s="138"/>
      <c r="C236" s="138"/>
      <c r="D236" s="138"/>
      <c r="E236" s="138"/>
      <c r="F236" s="138"/>
      <c r="G236" s="138"/>
      <c r="H236" s="138"/>
      <c r="I236" s="138"/>
      <c r="J236" s="138"/>
      <c r="K236" s="138"/>
      <c r="L236" s="138"/>
      <c r="M236" s="138"/>
      <c r="N236" s="138"/>
      <c r="O236" s="138"/>
      <c r="P236" s="138"/>
    </row>
    <row r="237">
      <c r="A237" s="138"/>
      <c r="B237" s="138"/>
      <c r="C237" s="138"/>
      <c r="D237" s="138"/>
      <c r="E237" s="138"/>
      <c r="F237" s="138"/>
      <c r="G237" s="138"/>
      <c r="H237" s="138"/>
      <c r="I237" s="138"/>
      <c r="J237" s="138"/>
      <c r="K237" s="138"/>
      <c r="L237" s="138"/>
      <c r="M237" s="138"/>
      <c r="N237" s="138"/>
      <c r="O237" s="138"/>
      <c r="P237" s="138"/>
    </row>
    <row r="238">
      <c r="A238" s="138"/>
      <c r="B238" s="138"/>
      <c r="C238" s="138"/>
      <c r="D238" s="138"/>
      <c r="E238" s="138"/>
      <c r="F238" s="138"/>
      <c r="G238" s="138"/>
      <c r="H238" s="138"/>
      <c r="I238" s="138"/>
      <c r="J238" s="138"/>
      <c r="K238" s="138"/>
      <c r="L238" s="138"/>
      <c r="M238" s="138"/>
      <c r="N238" s="138"/>
      <c r="O238" s="138"/>
      <c r="P238" s="138"/>
    </row>
    <row r="239">
      <c r="A239" s="138"/>
      <c r="B239" s="138"/>
      <c r="C239" s="138"/>
      <c r="D239" s="138"/>
      <c r="E239" s="138"/>
      <c r="F239" s="138"/>
      <c r="G239" s="138"/>
      <c r="H239" s="138"/>
      <c r="I239" s="138"/>
      <c r="J239" s="138"/>
      <c r="K239" s="138"/>
      <c r="L239" s="138"/>
      <c r="M239" s="138"/>
      <c r="N239" s="138"/>
      <c r="O239" s="138"/>
      <c r="P239" s="138"/>
    </row>
    <row r="240">
      <c r="A240" s="138"/>
      <c r="B240" s="138"/>
      <c r="C240" s="138"/>
      <c r="D240" s="138"/>
      <c r="E240" s="138"/>
      <c r="F240" s="138"/>
      <c r="G240" s="138"/>
      <c r="H240" s="138"/>
      <c r="I240" s="138"/>
      <c r="J240" s="138"/>
      <c r="K240" s="138"/>
      <c r="L240" s="138"/>
      <c r="M240" s="138"/>
      <c r="N240" s="138"/>
      <c r="O240" s="138"/>
      <c r="P240" s="138"/>
    </row>
    <row r="241">
      <c r="A241" s="138"/>
      <c r="B241" s="138"/>
      <c r="C241" s="138"/>
      <c r="D241" s="138"/>
      <c r="E241" s="138"/>
      <c r="F241" s="138"/>
      <c r="G241" s="138"/>
      <c r="H241" s="138"/>
      <c r="I241" s="138"/>
      <c r="J241" s="138"/>
      <c r="K241" s="138"/>
      <c r="L241" s="138"/>
      <c r="M241" s="138"/>
      <c r="N241" s="138"/>
      <c r="O241" s="138"/>
      <c r="P241" s="138"/>
    </row>
    <row r="242">
      <c r="A242" s="138"/>
      <c r="B242" s="138"/>
      <c r="C242" s="138"/>
      <c r="D242" s="138"/>
      <c r="E242" s="138"/>
      <c r="F242" s="138"/>
      <c r="G242" s="138"/>
      <c r="H242" s="138"/>
      <c r="I242" s="138"/>
      <c r="J242" s="138"/>
      <c r="K242" s="138"/>
      <c r="L242" s="138"/>
      <c r="M242" s="138"/>
      <c r="N242" s="138"/>
      <c r="O242" s="138"/>
      <c r="P242" s="138"/>
    </row>
    <row r="243">
      <c r="A243" s="138"/>
      <c r="B243" s="138"/>
      <c r="C243" s="138"/>
      <c r="D243" s="138"/>
      <c r="E243" s="138"/>
      <c r="F243" s="138"/>
      <c r="G243" s="138"/>
      <c r="H243" s="138"/>
      <c r="I243" s="138"/>
      <c r="J243" s="138"/>
      <c r="K243" s="138"/>
      <c r="L243" s="138"/>
      <c r="M243" s="138"/>
      <c r="N243" s="138"/>
      <c r="O243" s="138"/>
      <c r="P243" s="138"/>
    </row>
    <row r="244">
      <c r="A244" s="138"/>
      <c r="B244" s="138"/>
      <c r="C244" s="138"/>
      <c r="D244" s="138"/>
      <c r="E244" s="138"/>
      <c r="F244" s="138"/>
      <c r="G244" s="138"/>
      <c r="H244" s="138"/>
      <c r="I244" s="138"/>
      <c r="J244" s="138"/>
      <c r="K244" s="138"/>
      <c r="L244" s="138"/>
      <c r="M244" s="138"/>
      <c r="N244" s="138"/>
      <c r="O244" s="138"/>
      <c r="P244" s="138"/>
    </row>
    <row r="245">
      <c r="A245" s="138"/>
      <c r="B245" s="138"/>
      <c r="C245" s="138"/>
      <c r="D245" s="138"/>
      <c r="E245" s="138"/>
      <c r="F245" s="138"/>
      <c r="G245" s="138"/>
      <c r="H245" s="138"/>
      <c r="I245" s="138"/>
      <c r="J245" s="138"/>
      <c r="K245" s="138"/>
      <c r="L245" s="138"/>
      <c r="M245" s="138"/>
      <c r="N245" s="138"/>
      <c r="O245" s="138"/>
      <c r="P245" s="138"/>
    </row>
    <row r="246">
      <c r="A246" s="138"/>
      <c r="B246" s="138"/>
      <c r="C246" s="138"/>
      <c r="D246" s="138"/>
      <c r="E246" s="138"/>
      <c r="F246" s="138"/>
      <c r="G246" s="138"/>
      <c r="H246" s="138"/>
      <c r="I246" s="138"/>
      <c r="J246" s="138"/>
      <c r="K246" s="138"/>
      <c r="L246" s="138"/>
      <c r="M246" s="138"/>
      <c r="N246" s="138"/>
      <c r="O246" s="138"/>
      <c r="P246" s="138"/>
    </row>
    <row r="247">
      <c r="A247" s="138"/>
      <c r="B247" s="138"/>
      <c r="C247" s="138"/>
      <c r="D247" s="138"/>
      <c r="E247" s="138"/>
      <c r="F247" s="138"/>
      <c r="G247" s="138"/>
      <c r="H247" s="138"/>
      <c r="I247" s="138"/>
      <c r="J247" s="138"/>
      <c r="K247" s="138"/>
      <c r="L247" s="138"/>
      <c r="M247" s="138"/>
      <c r="N247" s="138"/>
      <c r="O247" s="138"/>
      <c r="P247" s="138"/>
    </row>
    <row r="248">
      <c r="A248" s="138"/>
      <c r="B248" s="138"/>
      <c r="C248" s="138"/>
      <c r="D248" s="138"/>
      <c r="E248" s="138"/>
      <c r="F248" s="138"/>
      <c r="G248" s="138"/>
      <c r="H248" s="138"/>
      <c r="I248" s="138"/>
      <c r="J248" s="138"/>
      <c r="K248" s="138"/>
      <c r="L248" s="138"/>
      <c r="M248" s="138"/>
      <c r="N248" s="138"/>
      <c r="O248" s="138"/>
      <c r="P248" s="138"/>
    </row>
    <row r="249">
      <c r="A249" s="138"/>
      <c r="B249" s="138"/>
      <c r="C249" s="138"/>
      <c r="D249" s="138"/>
      <c r="E249" s="138"/>
      <c r="F249" s="138"/>
      <c r="G249" s="138"/>
      <c r="H249" s="138"/>
      <c r="I249" s="138"/>
      <c r="J249" s="138"/>
      <c r="K249" s="138"/>
      <c r="L249" s="138"/>
      <c r="M249" s="138"/>
      <c r="N249" s="138"/>
      <c r="O249" s="138"/>
      <c r="P249" s="138"/>
    </row>
    <row r="250">
      <c r="A250" s="138"/>
      <c r="B250" s="138"/>
      <c r="C250" s="138"/>
      <c r="D250" s="138"/>
      <c r="E250" s="138"/>
      <c r="F250" s="138"/>
      <c r="G250" s="138"/>
      <c r="H250" s="138"/>
      <c r="I250" s="138"/>
      <c r="J250" s="138"/>
      <c r="K250" s="138"/>
      <c r="L250" s="138"/>
      <c r="M250" s="138"/>
      <c r="N250" s="138"/>
      <c r="O250" s="138"/>
      <c r="P250" s="138"/>
    </row>
    <row r="251">
      <c r="A251" s="138"/>
      <c r="B251" s="138"/>
      <c r="C251" s="138"/>
      <c r="D251" s="138"/>
      <c r="E251" s="138"/>
      <c r="F251" s="138"/>
      <c r="G251" s="138"/>
      <c r="H251" s="138"/>
      <c r="I251" s="138"/>
      <c r="J251" s="138"/>
      <c r="K251" s="138"/>
      <c r="L251" s="138"/>
      <c r="M251" s="138"/>
      <c r="N251" s="138"/>
      <c r="O251" s="138"/>
      <c r="P251" s="138"/>
    </row>
    <row r="252">
      <c r="A252" s="138"/>
      <c r="B252" s="138"/>
      <c r="C252" s="138"/>
      <c r="D252" s="138"/>
      <c r="E252" s="138"/>
      <c r="F252" s="138"/>
      <c r="G252" s="138"/>
      <c r="H252" s="138"/>
      <c r="I252" s="138"/>
      <c r="J252" s="138"/>
      <c r="K252" s="138"/>
      <c r="L252" s="138"/>
      <c r="M252" s="138"/>
      <c r="N252" s="138"/>
      <c r="O252" s="138"/>
      <c r="P252" s="138"/>
    </row>
    <row r="253">
      <c r="A253" s="138"/>
      <c r="B253" s="138"/>
      <c r="C253" s="138"/>
      <c r="D253" s="138"/>
      <c r="E253" s="138"/>
      <c r="F253" s="138"/>
      <c r="G253" s="138"/>
      <c r="H253" s="138"/>
      <c r="I253" s="138"/>
      <c r="J253" s="138"/>
      <c r="K253" s="138"/>
      <c r="L253" s="138"/>
      <c r="M253" s="138"/>
      <c r="N253" s="138"/>
      <c r="O253" s="138"/>
      <c r="P253" s="138"/>
    </row>
    <row r="254">
      <c r="A254" s="138"/>
      <c r="B254" s="138"/>
      <c r="C254" s="138"/>
      <c r="D254" s="138"/>
      <c r="E254" s="138"/>
      <c r="F254" s="138"/>
      <c r="G254" s="138"/>
      <c r="H254" s="138"/>
      <c r="I254" s="138"/>
      <c r="J254" s="138"/>
      <c r="K254" s="138"/>
      <c r="L254" s="138"/>
      <c r="M254" s="138"/>
      <c r="N254" s="138"/>
      <c r="O254" s="138"/>
      <c r="P254" s="138"/>
    </row>
    <row r="255">
      <c r="A255" s="138"/>
      <c r="B255" s="138"/>
      <c r="C255" s="138"/>
      <c r="D255" s="138"/>
      <c r="E255" s="138"/>
      <c r="F255" s="138"/>
      <c r="G255" s="138"/>
      <c r="H255" s="138"/>
      <c r="I255" s="138"/>
      <c r="J255" s="138"/>
      <c r="K255" s="138"/>
      <c r="L255" s="138"/>
      <c r="M255" s="138"/>
      <c r="N255" s="138"/>
      <c r="O255" s="138"/>
      <c r="P255" s="138"/>
    </row>
    <row r="256">
      <c r="A256" s="138"/>
      <c r="B256" s="138"/>
      <c r="C256" s="138"/>
      <c r="D256" s="138"/>
      <c r="E256" s="138"/>
      <c r="F256" s="138"/>
      <c r="G256" s="138"/>
      <c r="H256" s="138"/>
      <c r="I256" s="138"/>
      <c r="J256" s="138"/>
      <c r="K256" s="138"/>
      <c r="L256" s="138"/>
      <c r="M256" s="138"/>
      <c r="N256" s="138"/>
      <c r="O256" s="138"/>
      <c r="P256" s="138"/>
    </row>
    <row r="257">
      <c r="A257" s="138"/>
      <c r="B257" s="138"/>
      <c r="C257" s="138"/>
      <c r="D257" s="138"/>
      <c r="E257" s="138"/>
      <c r="F257" s="138"/>
      <c r="G257" s="138"/>
      <c r="H257" s="138"/>
      <c r="I257" s="138"/>
      <c r="J257" s="138"/>
      <c r="K257" s="138"/>
      <c r="L257" s="138"/>
      <c r="M257" s="138"/>
      <c r="N257" s="138"/>
      <c r="O257" s="138"/>
      <c r="P257" s="138"/>
    </row>
    <row r="258">
      <c r="A258" s="138"/>
      <c r="B258" s="138"/>
      <c r="C258" s="138"/>
      <c r="D258" s="138"/>
      <c r="E258" s="138"/>
      <c r="F258" s="138"/>
      <c r="G258" s="138"/>
      <c r="H258" s="138"/>
      <c r="I258" s="138"/>
      <c r="J258" s="138"/>
      <c r="K258" s="138"/>
      <c r="L258" s="138"/>
      <c r="M258" s="138"/>
      <c r="N258" s="138"/>
      <c r="O258" s="138"/>
      <c r="P258" s="138"/>
    </row>
    <row r="259">
      <c r="A259" s="138"/>
      <c r="B259" s="138"/>
      <c r="C259" s="138"/>
      <c r="D259" s="138"/>
      <c r="E259" s="138"/>
      <c r="F259" s="138"/>
      <c r="G259" s="138"/>
      <c r="H259" s="138"/>
      <c r="I259" s="138"/>
      <c r="J259" s="138"/>
      <c r="K259" s="138"/>
      <c r="L259" s="138"/>
      <c r="M259" s="138"/>
      <c r="N259" s="138"/>
      <c r="O259" s="138"/>
      <c r="P259" s="138"/>
    </row>
    <row r="260">
      <c r="A260" s="138"/>
      <c r="B260" s="138"/>
      <c r="C260" s="138"/>
      <c r="D260" s="138"/>
      <c r="E260" s="138"/>
      <c r="F260" s="138"/>
      <c r="G260" s="138"/>
      <c r="H260" s="138"/>
      <c r="I260" s="138"/>
      <c r="J260" s="138"/>
      <c r="K260" s="138"/>
      <c r="L260" s="138"/>
      <c r="M260" s="138"/>
      <c r="N260" s="138"/>
      <c r="O260" s="138"/>
      <c r="P260" s="138"/>
    </row>
    <row r="261">
      <c r="A261" s="138"/>
      <c r="B261" s="138"/>
      <c r="C261" s="138"/>
      <c r="D261" s="138"/>
      <c r="E261" s="138"/>
      <c r="F261" s="138"/>
      <c r="G261" s="138"/>
      <c r="H261" s="138"/>
      <c r="I261" s="138"/>
      <c r="J261" s="138"/>
      <c r="K261" s="138"/>
      <c r="L261" s="138"/>
      <c r="M261" s="138"/>
      <c r="N261" s="138"/>
      <c r="O261" s="138"/>
      <c r="P261" s="138"/>
    </row>
    <row r="262">
      <c r="A262" s="138"/>
      <c r="B262" s="138"/>
      <c r="C262" s="138"/>
      <c r="D262" s="138"/>
      <c r="E262" s="138"/>
      <c r="F262" s="138"/>
      <c r="G262" s="138"/>
      <c r="H262" s="138"/>
      <c r="I262" s="138"/>
      <c r="J262" s="138"/>
      <c r="K262" s="138"/>
      <c r="L262" s="138"/>
      <c r="M262" s="138"/>
      <c r="N262" s="138"/>
      <c r="O262" s="138"/>
      <c r="P262" s="138"/>
    </row>
    <row r="263">
      <c r="A263" s="138"/>
      <c r="B263" s="138"/>
      <c r="C263" s="138"/>
      <c r="D263" s="138"/>
      <c r="E263" s="138"/>
      <c r="F263" s="138"/>
      <c r="G263" s="138"/>
      <c r="H263" s="138"/>
      <c r="I263" s="138"/>
      <c r="J263" s="138"/>
      <c r="K263" s="138"/>
      <c r="L263" s="138"/>
      <c r="M263" s="138"/>
      <c r="N263" s="138"/>
      <c r="O263" s="138"/>
      <c r="P263" s="138"/>
    </row>
    <row r="264">
      <c r="A264" s="138"/>
      <c r="B264" s="138"/>
      <c r="C264" s="138"/>
      <c r="D264" s="138"/>
      <c r="E264" s="138"/>
      <c r="F264" s="138"/>
      <c r="G264" s="138"/>
      <c r="H264" s="138"/>
      <c r="I264" s="138"/>
      <c r="J264" s="138"/>
      <c r="K264" s="138"/>
      <c r="L264" s="138"/>
      <c r="M264" s="138"/>
      <c r="N264" s="138"/>
      <c r="O264" s="138"/>
      <c r="P264" s="138"/>
    </row>
    <row r="265">
      <c r="A265" s="138"/>
      <c r="B265" s="138"/>
      <c r="C265" s="138"/>
      <c r="D265" s="138"/>
      <c r="E265" s="138"/>
      <c r="F265" s="138"/>
      <c r="G265" s="138"/>
      <c r="H265" s="138"/>
      <c r="I265" s="138"/>
      <c r="J265" s="138"/>
      <c r="K265" s="138"/>
      <c r="L265" s="138"/>
      <c r="M265" s="138"/>
      <c r="N265" s="138"/>
      <c r="O265" s="138"/>
      <c r="P265" s="138"/>
    </row>
    <row r="266">
      <c r="A266" s="138"/>
      <c r="B266" s="138"/>
      <c r="C266" s="138"/>
      <c r="D266" s="138"/>
      <c r="E266" s="138"/>
      <c r="F266" s="138"/>
      <c r="G266" s="138"/>
      <c r="H266" s="138"/>
      <c r="I266" s="138"/>
      <c r="J266" s="138"/>
      <c r="K266" s="138"/>
      <c r="L266" s="138"/>
      <c r="M266" s="138"/>
      <c r="N266" s="138"/>
      <c r="O266" s="138"/>
      <c r="P266" s="138"/>
    </row>
    <row r="267">
      <c r="A267" s="138"/>
      <c r="B267" s="138"/>
      <c r="C267" s="138"/>
      <c r="D267" s="138"/>
      <c r="E267" s="138"/>
      <c r="F267" s="138"/>
      <c r="G267" s="138"/>
      <c r="H267" s="138"/>
      <c r="I267" s="138"/>
      <c r="J267" s="138"/>
      <c r="K267" s="138"/>
      <c r="L267" s="138"/>
      <c r="M267" s="138"/>
      <c r="N267" s="138"/>
      <c r="O267" s="138"/>
      <c r="P267" s="138"/>
    </row>
    <row r="268">
      <c r="A268" s="138"/>
      <c r="B268" s="138"/>
      <c r="C268" s="138"/>
      <c r="D268" s="138"/>
      <c r="E268" s="138"/>
      <c r="F268" s="138"/>
      <c r="G268" s="138"/>
      <c r="H268" s="138"/>
      <c r="I268" s="138"/>
      <c r="J268" s="138"/>
      <c r="K268" s="138"/>
      <c r="L268" s="138"/>
      <c r="M268" s="138"/>
      <c r="N268" s="138"/>
      <c r="O268" s="138"/>
      <c r="P268" s="138"/>
    </row>
    <row r="269">
      <c r="A269" s="138"/>
      <c r="B269" s="138"/>
      <c r="C269" s="138"/>
      <c r="D269" s="138"/>
      <c r="E269" s="138"/>
      <c r="F269" s="138"/>
      <c r="G269" s="138"/>
      <c r="H269" s="138"/>
      <c r="I269" s="138"/>
      <c r="J269" s="138"/>
      <c r="K269" s="138"/>
      <c r="L269" s="138"/>
      <c r="M269" s="138"/>
      <c r="N269" s="138"/>
      <c r="O269" s="138"/>
      <c r="P269" s="138"/>
    </row>
    <row r="270">
      <c r="A270" s="138"/>
      <c r="B270" s="138"/>
      <c r="C270" s="138"/>
      <c r="D270" s="138"/>
      <c r="E270" s="138"/>
      <c r="F270" s="138"/>
      <c r="G270" s="138"/>
      <c r="H270" s="138"/>
      <c r="I270" s="138"/>
      <c r="J270" s="138"/>
      <c r="K270" s="138"/>
      <c r="L270" s="138"/>
      <c r="M270" s="138"/>
      <c r="N270" s="138"/>
      <c r="O270" s="138"/>
      <c r="P270" s="138"/>
    </row>
    <row r="271">
      <c r="A271" s="138"/>
      <c r="B271" s="138"/>
      <c r="C271" s="138"/>
      <c r="D271" s="138"/>
      <c r="E271" s="138"/>
      <c r="F271" s="138"/>
      <c r="G271" s="138"/>
      <c r="H271" s="138"/>
      <c r="I271" s="138"/>
      <c r="J271" s="138"/>
      <c r="K271" s="138"/>
      <c r="L271" s="138"/>
      <c r="M271" s="138"/>
      <c r="N271" s="138"/>
      <c r="O271" s="138"/>
      <c r="P271" s="138"/>
    </row>
    <row r="272">
      <c r="A272" s="138"/>
      <c r="B272" s="138"/>
      <c r="C272" s="138"/>
      <c r="D272" s="138"/>
      <c r="E272" s="138"/>
      <c r="F272" s="138"/>
      <c r="G272" s="138"/>
      <c r="H272" s="138"/>
      <c r="I272" s="138"/>
      <c r="J272" s="138"/>
      <c r="K272" s="138"/>
      <c r="L272" s="138"/>
      <c r="M272" s="138"/>
      <c r="N272" s="138"/>
      <c r="O272" s="138"/>
      <c r="P272" s="138"/>
    </row>
    <row r="273">
      <c r="A273" s="138"/>
      <c r="B273" s="138"/>
      <c r="C273" s="138"/>
      <c r="D273" s="138"/>
      <c r="E273" s="138"/>
      <c r="F273" s="138"/>
      <c r="G273" s="138"/>
      <c r="H273" s="138"/>
      <c r="I273" s="138"/>
      <c r="J273" s="138"/>
      <c r="K273" s="138"/>
      <c r="L273" s="138"/>
      <c r="M273" s="138"/>
      <c r="N273" s="138"/>
      <c r="O273" s="138"/>
      <c r="P273" s="138"/>
    </row>
    <row r="274">
      <c r="A274" s="138"/>
      <c r="B274" s="138"/>
      <c r="C274" s="138"/>
      <c r="D274" s="138"/>
      <c r="E274" s="138"/>
      <c r="F274" s="138"/>
      <c r="G274" s="138"/>
      <c r="H274" s="138"/>
      <c r="I274" s="138"/>
      <c r="J274" s="138"/>
      <c r="K274" s="138"/>
      <c r="L274" s="138"/>
      <c r="M274" s="138"/>
      <c r="N274" s="138"/>
      <c r="O274" s="138"/>
      <c r="P274" s="138"/>
    </row>
    <row r="275">
      <c r="A275" s="138"/>
      <c r="B275" s="138"/>
      <c r="C275" s="138"/>
      <c r="D275" s="138"/>
      <c r="E275" s="138"/>
      <c r="F275" s="138"/>
      <c r="G275" s="138"/>
      <c r="H275" s="138"/>
      <c r="I275" s="138"/>
      <c r="J275" s="138"/>
      <c r="K275" s="138"/>
      <c r="L275" s="138"/>
      <c r="M275" s="138"/>
      <c r="N275" s="138"/>
      <c r="O275" s="138"/>
      <c r="P275" s="138"/>
    </row>
    <row r="276">
      <c r="A276" s="138"/>
      <c r="B276" s="138"/>
      <c r="C276" s="138"/>
      <c r="D276" s="138"/>
      <c r="E276" s="138"/>
      <c r="F276" s="138"/>
      <c r="G276" s="138"/>
      <c r="H276" s="138"/>
      <c r="I276" s="138"/>
      <c r="J276" s="138"/>
      <c r="K276" s="138"/>
      <c r="L276" s="138"/>
      <c r="M276" s="138"/>
      <c r="N276" s="138"/>
      <c r="O276" s="138"/>
      <c r="P276" s="138"/>
    </row>
    <row r="277">
      <c r="A277" s="138"/>
      <c r="B277" s="138"/>
      <c r="C277" s="138"/>
      <c r="D277" s="138"/>
      <c r="E277" s="138"/>
      <c r="F277" s="138"/>
      <c r="G277" s="138"/>
      <c r="H277" s="138"/>
      <c r="I277" s="138"/>
      <c r="J277" s="138"/>
      <c r="K277" s="138"/>
      <c r="L277" s="138"/>
      <c r="M277" s="138"/>
      <c r="N277" s="138"/>
      <c r="O277" s="138"/>
      <c r="P277" s="138"/>
    </row>
    <row r="278">
      <c r="A278" s="138"/>
      <c r="B278" s="138"/>
      <c r="C278" s="138"/>
      <c r="D278" s="138"/>
      <c r="E278" s="138"/>
      <c r="F278" s="138"/>
      <c r="G278" s="138"/>
      <c r="H278" s="138"/>
      <c r="I278" s="138"/>
      <c r="J278" s="138"/>
      <c r="K278" s="138"/>
      <c r="L278" s="138"/>
      <c r="M278" s="138"/>
      <c r="N278" s="138"/>
      <c r="O278" s="138"/>
      <c r="P278" s="138"/>
    </row>
    <row r="279">
      <c r="A279" s="138"/>
      <c r="B279" s="138"/>
      <c r="C279" s="138"/>
      <c r="D279" s="138"/>
      <c r="E279" s="138"/>
      <c r="F279" s="138"/>
      <c r="G279" s="138"/>
      <c r="H279" s="138"/>
      <c r="I279" s="138"/>
      <c r="J279" s="138"/>
      <c r="K279" s="138"/>
      <c r="L279" s="138"/>
      <c r="M279" s="138"/>
      <c r="N279" s="138"/>
      <c r="O279" s="138"/>
      <c r="P279" s="138"/>
    </row>
    <row r="280">
      <c r="A280" s="138"/>
      <c r="B280" s="138"/>
      <c r="C280" s="138"/>
      <c r="D280" s="138"/>
      <c r="E280" s="138"/>
      <c r="F280" s="138"/>
      <c r="G280" s="138"/>
      <c r="H280" s="138"/>
      <c r="I280" s="138"/>
      <c r="J280" s="138"/>
      <c r="K280" s="138"/>
      <c r="L280" s="138"/>
      <c r="M280" s="138"/>
      <c r="N280" s="138"/>
      <c r="O280" s="138"/>
      <c r="P280" s="138"/>
    </row>
    <row r="281">
      <c r="A281" s="138"/>
      <c r="B281" s="138"/>
      <c r="C281" s="138"/>
      <c r="D281" s="138"/>
      <c r="E281" s="138"/>
      <c r="F281" s="138"/>
      <c r="G281" s="138"/>
      <c r="H281" s="138"/>
      <c r="I281" s="138"/>
      <c r="J281" s="138"/>
      <c r="K281" s="138"/>
      <c r="L281" s="138"/>
      <c r="M281" s="138"/>
      <c r="N281" s="138"/>
      <c r="O281" s="138"/>
      <c r="P281" s="138"/>
    </row>
    <row r="282">
      <c r="A282" s="138"/>
      <c r="B282" s="138"/>
      <c r="C282" s="138"/>
      <c r="D282" s="138"/>
      <c r="E282" s="138"/>
      <c r="F282" s="138"/>
      <c r="G282" s="138"/>
      <c r="H282" s="138"/>
      <c r="I282" s="138"/>
      <c r="J282" s="138"/>
      <c r="K282" s="138"/>
      <c r="L282" s="138"/>
      <c r="M282" s="138"/>
      <c r="N282" s="138"/>
      <c r="O282" s="138"/>
      <c r="P282" s="138"/>
    </row>
    <row r="283">
      <c r="A283" s="138"/>
      <c r="B283" s="138"/>
      <c r="C283" s="138"/>
      <c r="D283" s="138"/>
      <c r="E283" s="138"/>
      <c r="F283" s="138"/>
      <c r="G283" s="138"/>
      <c r="H283" s="138"/>
      <c r="I283" s="138"/>
      <c r="J283" s="138"/>
      <c r="K283" s="138"/>
      <c r="L283" s="138"/>
      <c r="M283" s="138"/>
      <c r="N283" s="138"/>
      <c r="O283" s="138"/>
      <c r="P283" s="138"/>
    </row>
    <row r="284">
      <c r="A284" s="138"/>
      <c r="B284" s="138"/>
      <c r="C284" s="138"/>
      <c r="D284" s="138"/>
      <c r="E284" s="138"/>
      <c r="F284" s="138"/>
      <c r="G284" s="138"/>
      <c r="H284" s="138"/>
      <c r="I284" s="138"/>
      <c r="J284" s="138"/>
      <c r="K284" s="138"/>
      <c r="L284" s="138"/>
      <c r="M284" s="138"/>
      <c r="N284" s="138"/>
      <c r="O284" s="138"/>
      <c r="P284" s="138"/>
    </row>
    <row r="285">
      <c r="A285" s="138"/>
      <c r="B285" s="138"/>
      <c r="C285" s="138"/>
      <c r="D285" s="138"/>
      <c r="E285" s="138"/>
      <c r="F285" s="138"/>
      <c r="G285" s="138"/>
      <c r="H285" s="138"/>
      <c r="I285" s="138"/>
      <c r="J285" s="138"/>
      <c r="K285" s="138"/>
      <c r="L285" s="138"/>
      <c r="M285" s="138"/>
      <c r="N285" s="138"/>
      <c r="O285" s="138"/>
      <c r="P285" s="138"/>
    </row>
    <row r="286">
      <c r="A286" s="138"/>
      <c r="B286" s="138"/>
      <c r="C286" s="138"/>
      <c r="D286" s="138"/>
      <c r="E286" s="138"/>
      <c r="F286" s="138"/>
      <c r="G286" s="138"/>
      <c r="H286" s="138"/>
      <c r="I286" s="138"/>
      <c r="J286" s="138"/>
      <c r="K286" s="138"/>
      <c r="L286" s="138"/>
      <c r="M286" s="138"/>
      <c r="N286" s="138"/>
      <c r="O286" s="138"/>
      <c r="P286" s="138"/>
    </row>
    <row r="287">
      <c r="A287" s="138"/>
      <c r="B287" s="138"/>
      <c r="C287" s="138"/>
      <c r="D287" s="138"/>
      <c r="E287" s="138"/>
      <c r="F287" s="138"/>
      <c r="G287" s="138"/>
      <c r="H287" s="138"/>
      <c r="I287" s="138"/>
      <c r="J287" s="138"/>
      <c r="K287" s="138"/>
      <c r="L287" s="138"/>
      <c r="M287" s="138"/>
      <c r="N287" s="138"/>
      <c r="O287" s="138"/>
      <c r="P287" s="138"/>
    </row>
    <row r="288">
      <c r="A288" s="138"/>
      <c r="B288" s="138"/>
      <c r="C288" s="138"/>
      <c r="D288" s="138"/>
      <c r="E288" s="138"/>
      <c r="F288" s="138"/>
      <c r="G288" s="138"/>
      <c r="H288" s="138"/>
      <c r="I288" s="138"/>
      <c r="J288" s="138"/>
      <c r="K288" s="138"/>
      <c r="L288" s="138"/>
      <c r="M288" s="138"/>
      <c r="N288" s="138"/>
      <c r="O288" s="138"/>
      <c r="P288" s="138"/>
    </row>
    <row r="289">
      <c r="A289" s="138"/>
      <c r="B289" s="138"/>
      <c r="C289" s="138"/>
      <c r="D289" s="138"/>
      <c r="E289" s="138"/>
      <c r="F289" s="138"/>
      <c r="G289" s="138"/>
      <c r="H289" s="138"/>
      <c r="I289" s="138"/>
      <c r="J289" s="138"/>
      <c r="K289" s="138"/>
      <c r="L289" s="138"/>
      <c r="M289" s="138"/>
      <c r="N289" s="138"/>
      <c r="O289" s="138"/>
      <c r="P289" s="138"/>
    </row>
    <row r="290">
      <c r="A290" s="138"/>
      <c r="B290" s="138"/>
      <c r="C290" s="138"/>
      <c r="D290" s="138"/>
      <c r="E290" s="138"/>
      <c r="F290" s="138"/>
      <c r="G290" s="138"/>
      <c r="H290" s="138"/>
      <c r="I290" s="138"/>
      <c r="J290" s="138"/>
      <c r="K290" s="138"/>
      <c r="L290" s="138"/>
      <c r="M290" s="138"/>
      <c r="N290" s="138"/>
      <c r="O290" s="138"/>
      <c r="P290" s="138"/>
    </row>
    <row r="291">
      <c r="A291" s="138"/>
      <c r="B291" s="138"/>
      <c r="C291" s="138"/>
      <c r="D291" s="138"/>
      <c r="E291" s="138"/>
      <c r="F291" s="138"/>
      <c r="G291" s="138"/>
      <c r="H291" s="138"/>
      <c r="I291" s="138"/>
      <c r="J291" s="138"/>
      <c r="K291" s="138"/>
      <c r="L291" s="138"/>
      <c r="M291" s="138"/>
      <c r="N291" s="138"/>
      <c r="O291" s="138"/>
      <c r="P291" s="138"/>
    </row>
    <row r="292">
      <c r="A292" s="138"/>
      <c r="B292" s="138"/>
      <c r="C292" s="138"/>
      <c r="D292" s="138"/>
      <c r="E292" s="138"/>
      <c r="F292" s="138"/>
      <c r="G292" s="138"/>
      <c r="H292" s="138"/>
      <c r="I292" s="138"/>
      <c r="J292" s="138"/>
      <c r="K292" s="138"/>
      <c r="L292" s="138"/>
      <c r="M292" s="138"/>
      <c r="N292" s="138"/>
      <c r="O292" s="138"/>
      <c r="P292" s="138"/>
    </row>
    <row r="293">
      <c r="A293" s="138"/>
      <c r="B293" s="138"/>
      <c r="C293" s="138"/>
      <c r="D293" s="138"/>
      <c r="E293" s="138"/>
      <c r="F293" s="138"/>
      <c r="G293" s="138"/>
      <c r="H293" s="138"/>
      <c r="I293" s="138"/>
      <c r="J293" s="138"/>
      <c r="K293" s="138"/>
      <c r="L293" s="138"/>
      <c r="M293" s="138"/>
      <c r="N293" s="138"/>
      <c r="O293" s="138"/>
      <c r="P293" s="138"/>
    </row>
    <row r="294">
      <c r="A294" s="138"/>
      <c r="B294" s="138"/>
      <c r="C294" s="138"/>
      <c r="D294" s="138"/>
      <c r="E294" s="138"/>
      <c r="F294" s="138"/>
      <c r="G294" s="138"/>
      <c r="H294" s="138"/>
      <c r="I294" s="138"/>
      <c r="J294" s="138"/>
      <c r="K294" s="138"/>
      <c r="L294" s="138"/>
      <c r="M294" s="138"/>
      <c r="N294" s="138"/>
      <c r="O294" s="138"/>
      <c r="P294" s="138"/>
    </row>
    <row r="295">
      <c r="A295" s="138"/>
      <c r="B295" s="138"/>
      <c r="C295" s="138"/>
      <c r="D295" s="138"/>
      <c r="E295" s="138"/>
      <c r="F295" s="138"/>
      <c r="G295" s="138"/>
      <c r="H295" s="138"/>
      <c r="I295" s="138"/>
      <c r="J295" s="138"/>
      <c r="K295" s="138"/>
      <c r="L295" s="138"/>
      <c r="M295" s="138"/>
      <c r="N295" s="138"/>
      <c r="O295" s="138"/>
      <c r="P295" s="138"/>
    </row>
    <row r="296">
      <c r="A296" s="138"/>
      <c r="B296" s="138"/>
      <c r="C296" s="138"/>
      <c r="D296" s="138"/>
      <c r="E296" s="138"/>
      <c r="F296" s="138"/>
      <c r="G296" s="138"/>
      <c r="H296" s="138"/>
      <c r="I296" s="138"/>
      <c r="J296" s="138"/>
      <c r="K296" s="138"/>
      <c r="L296" s="138"/>
      <c r="M296" s="138"/>
      <c r="N296" s="138"/>
      <c r="O296" s="138"/>
      <c r="P296" s="138"/>
    </row>
    <row r="297">
      <c r="A297" s="138"/>
      <c r="B297" s="138"/>
      <c r="C297" s="138"/>
      <c r="D297" s="138"/>
      <c r="E297" s="138"/>
      <c r="F297" s="138"/>
      <c r="G297" s="138"/>
      <c r="H297" s="138"/>
      <c r="I297" s="138"/>
      <c r="J297" s="138"/>
      <c r="K297" s="138"/>
      <c r="L297" s="138"/>
      <c r="M297" s="138"/>
      <c r="N297" s="138"/>
      <c r="O297" s="138"/>
      <c r="P297" s="138"/>
    </row>
    <row r="298">
      <c r="A298" s="138"/>
      <c r="B298" s="138"/>
      <c r="C298" s="138"/>
      <c r="D298" s="138"/>
      <c r="E298" s="138"/>
      <c r="F298" s="138"/>
      <c r="G298" s="138"/>
      <c r="H298" s="138"/>
      <c r="I298" s="138"/>
      <c r="J298" s="138"/>
      <c r="K298" s="138"/>
      <c r="L298" s="138"/>
      <c r="M298" s="138"/>
      <c r="N298" s="138"/>
      <c r="O298" s="138"/>
      <c r="P298" s="138"/>
    </row>
    <row r="299">
      <c r="A299" s="138"/>
      <c r="B299" s="138"/>
      <c r="C299" s="138"/>
      <c r="D299" s="138"/>
      <c r="E299" s="138"/>
      <c r="F299" s="138"/>
      <c r="G299" s="138"/>
      <c r="H299" s="138"/>
      <c r="I299" s="138"/>
      <c r="J299" s="138"/>
      <c r="K299" s="138"/>
      <c r="L299" s="138"/>
      <c r="M299" s="138"/>
      <c r="N299" s="138"/>
      <c r="O299" s="138"/>
      <c r="P299" s="138"/>
    </row>
    <row r="300">
      <c r="A300" s="138"/>
      <c r="B300" s="138"/>
      <c r="C300" s="138"/>
      <c r="D300" s="138"/>
      <c r="E300" s="138"/>
      <c r="F300" s="138"/>
      <c r="G300" s="138"/>
      <c r="H300" s="138"/>
      <c r="I300" s="138"/>
      <c r="J300" s="138"/>
      <c r="K300" s="138"/>
      <c r="L300" s="138"/>
      <c r="M300" s="138"/>
      <c r="N300" s="138"/>
      <c r="O300" s="138"/>
      <c r="P300" s="138"/>
    </row>
    <row r="301">
      <c r="A301" s="138"/>
      <c r="B301" s="138"/>
      <c r="C301" s="138"/>
      <c r="D301" s="138"/>
      <c r="E301" s="138"/>
      <c r="F301" s="138"/>
      <c r="G301" s="138"/>
      <c r="H301" s="138"/>
      <c r="I301" s="138"/>
      <c r="J301" s="138"/>
      <c r="K301" s="138"/>
      <c r="L301" s="138"/>
      <c r="M301" s="138"/>
      <c r="N301" s="138"/>
      <c r="O301" s="138"/>
      <c r="P301" s="138"/>
    </row>
    <row r="302">
      <c r="A302" s="138"/>
      <c r="B302" s="138"/>
      <c r="C302" s="138"/>
      <c r="D302" s="138"/>
      <c r="E302" s="138"/>
      <c r="F302" s="138"/>
      <c r="G302" s="138"/>
      <c r="H302" s="138"/>
      <c r="I302" s="138"/>
      <c r="J302" s="138"/>
      <c r="K302" s="138"/>
      <c r="L302" s="138"/>
      <c r="M302" s="138"/>
      <c r="N302" s="138"/>
      <c r="O302" s="138"/>
      <c r="P302" s="138"/>
    </row>
    <row r="303">
      <c r="A303" s="138"/>
      <c r="B303" s="138"/>
      <c r="C303" s="138"/>
      <c r="D303" s="138"/>
      <c r="E303" s="138"/>
      <c r="F303" s="138"/>
      <c r="G303" s="138"/>
      <c r="H303" s="138"/>
      <c r="I303" s="138"/>
      <c r="J303" s="138"/>
      <c r="K303" s="138"/>
      <c r="L303" s="138"/>
      <c r="M303" s="138"/>
      <c r="N303" s="138"/>
      <c r="O303" s="138"/>
      <c r="P303" s="138"/>
    </row>
    <row r="304">
      <c r="A304" s="138"/>
      <c r="B304" s="138"/>
      <c r="C304" s="138"/>
      <c r="D304" s="138"/>
      <c r="E304" s="138"/>
      <c r="F304" s="138"/>
      <c r="G304" s="138"/>
      <c r="H304" s="138"/>
      <c r="I304" s="138"/>
      <c r="J304" s="138"/>
      <c r="K304" s="138"/>
      <c r="L304" s="138"/>
      <c r="M304" s="138"/>
      <c r="N304" s="138"/>
      <c r="O304" s="138"/>
      <c r="P304" s="138"/>
    </row>
    <row r="305">
      <c r="A305" s="138"/>
      <c r="B305" s="138"/>
      <c r="C305" s="138"/>
      <c r="D305" s="138"/>
      <c r="E305" s="138"/>
      <c r="F305" s="138"/>
      <c r="G305" s="138"/>
      <c r="H305" s="138"/>
      <c r="I305" s="138"/>
      <c r="J305" s="138"/>
      <c r="K305" s="138"/>
      <c r="L305" s="138"/>
      <c r="M305" s="138"/>
      <c r="N305" s="138"/>
      <c r="O305" s="138"/>
      <c r="P305" s="138"/>
    </row>
    <row r="306">
      <c r="A306" s="138"/>
      <c r="B306" s="138"/>
      <c r="C306" s="138"/>
      <c r="D306" s="138"/>
      <c r="E306" s="138"/>
      <c r="F306" s="138"/>
      <c r="G306" s="138"/>
      <c r="H306" s="138"/>
      <c r="I306" s="138"/>
      <c r="J306" s="138"/>
      <c r="K306" s="138"/>
      <c r="L306" s="138"/>
      <c r="M306" s="138"/>
      <c r="N306" s="138"/>
      <c r="O306" s="138"/>
      <c r="P306" s="138"/>
    </row>
    <row r="307">
      <c r="A307" s="138"/>
      <c r="B307" s="138"/>
      <c r="C307" s="138"/>
      <c r="D307" s="138"/>
      <c r="E307" s="138"/>
      <c r="F307" s="138"/>
      <c r="G307" s="138"/>
      <c r="H307" s="138"/>
      <c r="I307" s="138"/>
      <c r="J307" s="138"/>
      <c r="K307" s="138"/>
      <c r="L307" s="138"/>
      <c r="M307" s="138"/>
      <c r="N307" s="138"/>
      <c r="O307" s="138"/>
      <c r="P307" s="138"/>
    </row>
    <row r="308">
      <c r="A308" s="138"/>
      <c r="B308" s="138"/>
      <c r="C308" s="138"/>
      <c r="D308" s="138"/>
      <c r="E308" s="138"/>
      <c r="F308" s="138"/>
      <c r="G308" s="138"/>
      <c r="H308" s="138"/>
      <c r="I308" s="138"/>
      <c r="J308" s="138"/>
      <c r="K308" s="138"/>
      <c r="L308" s="138"/>
      <c r="M308" s="138"/>
      <c r="N308" s="138"/>
      <c r="O308" s="138"/>
      <c r="P308" s="138"/>
    </row>
    <row r="309">
      <c r="A309" s="138"/>
      <c r="B309" s="138"/>
      <c r="C309" s="138"/>
      <c r="D309" s="138"/>
      <c r="E309" s="138"/>
      <c r="F309" s="138"/>
      <c r="G309" s="138"/>
      <c r="H309" s="138"/>
      <c r="I309" s="138"/>
      <c r="J309" s="138"/>
      <c r="K309" s="138"/>
      <c r="L309" s="138"/>
      <c r="M309" s="138"/>
      <c r="N309" s="138"/>
      <c r="O309" s="138"/>
      <c r="P309" s="138"/>
    </row>
    <row r="310">
      <c r="A310" s="138"/>
      <c r="B310" s="138"/>
      <c r="C310" s="138"/>
      <c r="D310" s="138"/>
      <c r="E310" s="138"/>
      <c r="F310" s="138"/>
      <c r="G310" s="138"/>
      <c r="H310" s="138"/>
      <c r="I310" s="138"/>
      <c r="J310" s="138"/>
      <c r="K310" s="138"/>
      <c r="L310" s="138"/>
      <c r="M310" s="138"/>
      <c r="N310" s="138"/>
      <c r="O310" s="138"/>
      <c r="P310" s="138"/>
    </row>
    <row r="311">
      <c r="A311" s="138"/>
      <c r="B311" s="138"/>
      <c r="C311" s="138"/>
      <c r="D311" s="138"/>
      <c r="E311" s="138"/>
      <c r="F311" s="138"/>
      <c r="G311" s="138"/>
      <c r="H311" s="138"/>
      <c r="I311" s="138"/>
      <c r="J311" s="138"/>
      <c r="K311" s="138"/>
      <c r="L311" s="138"/>
      <c r="M311" s="138"/>
      <c r="N311" s="138"/>
      <c r="O311" s="138"/>
      <c r="P311" s="138"/>
    </row>
    <row r="312">
      <c r="A312" s="138"/>
      <c r="B312" s="138"/>
      <c r="C312" s="138"/>
      <c r="D312" s="138"/>
      <c r="E312" s="138"/>
      <c r="F312" s="138"/>
      <c r="G312" s="138"/>
      <c r="H312" s="138"/>
      <c r="I312" s="138"/>
      <c r="J312" s="138"/>
      <c r="K312" s="138"/>
      <c r="L312" s="138"/>
      <c r="M312" s="138"/>
      <c r="N312" s="138"/>
      <c r="O312" s="138"/>
      <c r="P312" s="138"/>
    </row>
    <row r="313">
      <c r="A313" s="138"/>
      <c r="B313" s="138"/>
      <c r="C313" s="138"/>
      <c r="D313" s="138"/>
      <c r="E313" s="138"/>
      <c r="F313" s="138"/>
      <c r="G313" s="138"/>
      <c r="H313" s="138"/>
      <c r="I313" s="138"/>
      <c r="J313" s="138"/>
      <c r="K313" s="138"/>
      <c r="L313" s="138"/>
      <c r="M313" s="138"/>
      <c r="N313" s="138"/>
      <c r="O313" s="138"/>
      <c r="P313" s="138"/>
    </row>
    <row r="314">
      <c r="A314" s="138"/>
      <c r="B314" s="138"/>
      <c r="C314" s="138"/>
      <c r="D314" s="138"/>
      <c r="E314" s="138"/>
      <c r="F314" s="138"/>
      <c r="G314" s="138"/>
      <c r="H314" s="138"/>
      <c r="I314" s="138"/>
      <c r="J314" s="138"/>
      <c r="K314" s="138"/>
      <c r="L314" s="138"/>
      <c r="M314" s="138"/>
      <c r="N314" s="138"/>
      <c r="O314" s="138"/>
      <c r="P314" s="138"/>
    </row>
    <row r="315">
      <c r="A315" s="138"/>
      <c r="B315" s="138"/>
      <c r="C315" s="138"/>
      <c r="D315" s="138"/>
      <c r="E315" s="138"/>
      <c r="F315" s="138"/>
      <c r="G315" s="138"/>
      <c r="H315" s="138"/>
      <c r="I315" s="138"/>
      <c r="J315" s="138"/>
      <c r="K315" s="138"/>
      <c r="L315" s="138"/>
      <c r="M315" s="138"/>
      <c r="N315" s="138"/>
      <c r="O315" s="138"/>
      <c r="P315" s="138"/>
    </row>
    <row r="316">
      <c r="A316" s="138"/>
      <c r="B316" s="138"/>
      <c r="C316" s="138"/>
      <c r="D316" s="138"/>
      <c r="E316" s="138"/>
      <c r="F316" s="138"/>
      <c r="G316" s="138"/>
      <c r="H316" s="138"/>
      <c r="I316" s="138"/>
      <c r="J316" s="138"/>
      <c r="K316" s="138"/>
      <c r="L316" s="138"/>
      <c r="M316" s="138"/>
      <c r="N316" s="138"/>
      <c r="O316" s="138"/>
      <c r="P316" s="138"/>
    </row>
    <row r="317">
      <c r="A317" s="138"/>
      <c r="B317" s="138"/>
      <c r="C317" s="138"/>
      <c r="D317" s="138"/>
      <c r="E317" s="138"/>
      <c r="F317" s="138"/>
      <c r="G317" s="138"/>
      <c r="H317" s="138"/>
      <c r="I317" s="138"/>
      <c r="J317" s="138"/>
      <c r="K317" s="138"/>
      <c r="L317" s="138"/>
      <c r="M317" s="138"/>
      <c r="N317" s="138"/>
      <c r="O317" s="138"/>
      <c r="P317" s="138"/>
    </row>
    <row r="318">
      <c r="A318" s="138"/>
      <c r="B318" s="138"/>
      <c r="C318" s="138"/>
      <c r="D318" s="138"/>
      <c r="E318" s="138"/>
      <c r="F318" s="138"/>
      <c r="G318" s="138"/>
      <c r="H318" s="138"/>
      <c r="I318" s="138"/>
      <c r="J318" s="138"/>
      <c r="K318" s="138"/>
      <c r="L318" s="138"/>
      <c r="M318" s="138"/>
      <c r="N318" s="138"/>
      <c r="O318" s="138"/>
      <c r="P318" s="138"/>
    </row>
    <row r="319">
      <c r="A319" s="138"/>
      <c r="B319" s="138"/>
      <c r="C319" s="138"/>
      <c r="D319" s="138"/>
      <c r="E319" s="138"/>
      <c r="F319" s="138"/>
      <c r="G319" s="138"/>
      <c r="H319" s="138"/>
      <c r="I319" s="138"/>
      <c r="J319" s="138"/>
      <c r="K319" s="138"/>
      <c r="L319" s="138"/>
      <c r="M319" s="138"/>
      <c r="N319" s="138"/>
      <c r="O319" s="138"/>
      <c r="P319" s="138"/>
    </row>
    <row r="320">
      <c r="A320" s="138"/>
      <c r="B320" s="138"/>
      <c r="C320" s="138"/>
      <c r="D320" s="138"/>
      <c r="E320" s="138"/>
      <c r="F320" s="138"/>
      <c r="G320" s="138"/>
      <c r="H320" s="138"/>
      <c r="I320" s="138"/>
      <c r="J320" s="138"/>
      <c r="K320" s="138"/>
      <c r="L320" s="138"/>
      <c r="M320" s="138"/>
      <c r="N320" s="138"/>
      <c r="O320" s="138"/>
      <c r="P320" s="138"/>
    </row>
    <row r="321">
      <c r="A321" s="138"/>
      <c r="B321" s="138"/>
      <c r="C321" s="138"/>
      <c r="D321" s="138"/>
      <c r="E321" s="138"/>
      <c r="F321" s="138"/>
      <c r="G321" s="138"/>
      <c r="H321" s="138"/>
      <c r="I321" s="138"/>
      <c r="J321" s="138"/>
      <c r="K321" s="138"/>
      <c r="L321" s="138"/>
      <c r="M321" s="138"/>
      <c r="N321" s="138"/>
      <c r="O321" s="138"/>
      <c r="P321" s="138"/>
    </row>
    <row r="322">
      <c r="A322" s="138"/>
      <c r="B322" s="138"/>
      <c r="C322" s="138"/>
      <c r="D322" s="138"/>
      <c r="E322" s="138"/>
      <c r="F322" s="138"/>
      <c r="G322" s="138"/>
      <c r="H322" s="138"/>
      <c r="I322" s="138"/>
      <c r="J322" s="138"/>
      <c r="K322" s="138"/>
      <c r="L322" s="138"/>
      <c r="M322" s="138"/>
      <c r="N322" s="138"/>
      <c r="O322" s="138"/>
      <c r="P322" s="138"/>
    </row>
    <row r="323">
      <c r="A323" s="138"/>
      <c r="B323" s="138"/>
      <c r="C323" s="138"/>
      <c r="D323" s="138"/>
      <c r="E323" s="138"/>
      <c r="F323" s="138"/>
      <c r="G323" s="138"/>
      <c r="H323" s="138"/>
      <c r="I323" s="138"/>
      <c r="J323" s="138"/>
      <c r="K323" s="138"/>
      <c r="L323" s="138"/>
      <c r="M323" s="138"/>
      <c r="N323" s="138"/>
      <c r="O323" s="138"/>
      <c r="P323" s="138"/>
    </row>
    <row r="324">
      <c r="A324" s="138"/>
      <c r="B324" s="138"/>
      <c r="C324" s="138"/>
      <c r="D324" s="138"/>
      <c r="E324" s="138"/>
      <c r="F324" s="138"/>
      <c r="G324" s="138"/>
      <c r="H324" s="138"/>
      <c r="I324" s="138"/>
      <c r="J324" s="138"/>
      <c r="K324" s="138"/>
      <c r="L324" s="138"/>
      <c r="M324" s="138"/>
      <c r="N324" s="138"/>
      <c r="O324" s="138"/>
      <c r="P324" s="138"/>
    </row>
    <row r="325">
      <c r="A325" s="138"/>
      <c r="B325" s="138"/>
      <c r="C325" s="138"/>
      <c r="D325" s="138"/>
      <c r="E325" s="138"/>
      <c r="F325" s="138"/>
      <c r="G325" s="138"/>
      <c r="H325" s="138"/>
      <c r="I325" s="138"/>
      <c r="J325" s="138"/>
      <c r="K325" s="138"/>
      <c r="L325" s="138"/>
      <c r="M325" s="138"/>
      <c r="N325" s="138"/>
      <c r="O325" s="138"/>
      <c r="P325" s="138"/>
    </row>
    <row r="326">
      <c r="A326" s="138"/>
      <c r="B326" s="138"/>
      <c r="C326" s="138"/>
      <c r="D326" s="138"/>
      <c r="E326" s="138"/>
      <c r="F326" s="138"/>
      <c r="G326" s="138"/>
      <c r="H326" s="138"/>
      <c r="I326" s="138"/>
      <c r="J326" s="138"/>
      <c r="K326" s="138"/>
      <c r="L326" s="138"/>
      <c r="M326" s="138"/>
      <c r="N326" s="138"/>
      <c r="O326" s="138"/>
      <c r="P326" s="138"/>
    </row>
    <row r="327">
      <c r="A327" s="138"/>
      <c r="B327" s="138"/>
      <c r="C327" s="138"/>
      <c r="D327" s="138"/>
      <c r="E327" s="138"/>
      <c r="F327" s="138"/>
      <c r="G327" s="138"/>
      <c r="H327" s="138"/>
      <c r="I327" s="138"/>
      <c r="J327" s="138"/>
      <c r="K327" s="138"/>
      <c r="L327" s="138"/>
      <c r="M327" s="138"/>
      <c r="N327" s="138"/>
      <c r="O327" s="138"/>
      <c r="P327" s="138"/>
    </row>
    <row r="328">
      <c r="A328" s="138"/>
      <c r="B328" s="138"/>
      <c r="C328" s="138"/>
      <c r="D328" s="138"/>
      <c r="E328" s="138"/>
      <c r="F328" s="138"/>
      <c r="G328" s="138"/>
      <c r="H328" s="138"/>
      <c r="I328" s="138"/>
      <c r="J328" s="138"/>
      <c r="K328" s="138"/>
      <c r="L328" s="138"/>
      <c r="M328" s="138"/>
      <c r="N328" s="138"/>
      <c r="O328" s="138"/>
      <c r="P328" s="138"/>
    </row>
    <row r="329">
      <c r="A329" s="138"/>
      <c r="B329" s="138"/>
      <c r="C329" s="138"/>
      <c r="D329" s="138"/>
      <c r="E329" s="138"/>
      <c r="F329" s="138"/>
      <c r="G329" s="138"/>
      <c r="H329" s="138"/>
      <c r="I329" s="138"/>
      <c r="J329" s="138"/>
      <c r="K329" s="138"/>
      <c r="L329" s="138"/>
      <c r="M329" s="138"/>
      <c r="N329" s="138"/>
      <c r="O329" s="138"/>
      <c r="P329" s="138"/>
    </row>
    <row r="330">
      <c r="A330" s="138"/>
      <c r="B330" s="138"/>
      <c r="C330" s="138"/>
      <c r="D330" s="138"/>
      <c r="E330" s="138"/>
      <c r="F330" s="138"/>
      <c r="G330" s="138"/>
      <c r="H330" s="138"/>
      <c r="I330" s="138"/>
      <c r="J330" s="138"/>
      <c r="K330" s="138"/>
      <c r="L330" s="138"/>
      <c r="M330" s="138"/>
      <c r="N330" s="138"/>
      <c r="O330" s="138"/>
      <c r="P330" s="138"/>
    </row>
    <row r="331">
      <c r="A331" s="138"/>
      <c r="B331" s="138"/>
      <c r="C331" s="138"/>
      <c r="D331" s="138"/>
      <c r="E331" s="138"/>
      <c r="F331" s="138"/>
      <c r="G331" s="138"/>
      <c r="H331" s="138"/>
      <c r="I331" s="138"/>
      <c r="J331" s="138"/>
      <c r="K331" s="138"/>
      <c r="L331" s="138"/>
      <c r="M331" s="138"/>
      <c r="N331" s="138"/>
      <c r="O331" s="138"/>
      <c r="P331" s="138"/>
    </row>
    <row r="332">
      <c r="A332" s="138"/>
      <c r="B332" s="138"/>
      <c r="C332" s="138"/>
      <c r="D332" s="138"/>
      <c r="E332" s="138"/>
      <c r="F332" s="138"/>
      <c r="G332" s="138"/>
      <c r="H332" s="138"/>
      <c r="I332" s="138"/>
      <c r="J332" s="138"/>
      <c r="K332" s="138"/>
      <c r="L332" s="138"/>
      <c r="M332" s="138"/>
      <c r="N332" s="138"/>
      <c r="O332" s="138"/>
      <c r="P332" s="138"/>
    </row>
    <row r="333">
      <c r="A333" s="138"/>
      <c r="B333" s="138"/>
      <c r="C333" s="138"/>
      <c r="D333" s="138"/>
      <c r="E333" s="138"/>
      <c r="F333" s="138"/>
      <c r="G333" s="138"/>
      <c r="H333" s="138"/>
      <c r="I333" s="138"/>
      <c r="J333" s="138"/>
      <c r="K333" s="138"/>
      <c r="L333" s="138"/>
      <c r="M333" s="138"/>
      <c r="N333" s="138"/>
      <c r="O333" s="138"/>
      <c r="P333" s="138"/>
    </row>
    <row r="334">
      <c r="A334" s="138"/>
      <c r="B334" s="138"/>
      <c r="C334" s="138"/>
      <c r="D334" s="138"/>
      <c r="E334" s="138"/>
      <c r="F334" s="138"/>
      <c r="G334" s="138"/>
      <c r="H334" s="138"/>
      <c r="I334" s="138"/>
      <c r="J334" s="138"/>
      <c r="K334" s="138"/>
      <c r="L334" s="138"/>
      <c r="M334" s="138"/>
      <c r="N334" s="138"/>
      <c r="O334" s="138"/>
      <c r="P334" s="138"/>
    </row>
    <row r="335">
      <c r="A335" s="138"/>
      <c r="B335" s="138"/>
      <c r="C335" s="138"/>
      <c r="D335" s="138"/>
      <c r="E335" s="138"/>
      <c r="F335" s="138"/>
      <c r="G335" s="138"/>
      <c r="H335" s="138"/>
      <c r="I335" s="138"/>
      <c r="J335" s="138"/>
      <c r="K335" s="138"/>
      <c r="L335" s="138"/>
      <c r="M335" s="138"/>
      <c r="N335" s="138"/>
      <c r="O335" s="138"/>
      <c r="P335" s="138"/>
    </row>
    <row r="336">
      <c r="A336" s="138"/>
      <c r="B336" s="138"/>
      <c r="C336" s="138"/>
      <c r="D336" s="138"/>
      <c r="E336" s="138"/>
      <c r="F336" s="138"/>
      <c r="G336" s="138"/>
      <c r="H336" s="138"/>
      <c r="I336" s="138"/>
      <c r="J336" s="138"/>
      <c r="K336" s="138"/>
      <c r="L336" s="138"/>
      <c r="M336" s="138"/>
      <c r="N336" s="138"/>
      <c r="O336" s="138"/>
      <c r="P336" s="138"/>
    </row>
    <row r="337">
      <c r="A337" s="138"/>
      <c r="B337" s="138"/>
      <c r="C337" s="138"/>
      <c r="D337" s="138"/>
      <c r="E337" s="138"/>
      <c r="F337" s="138"/>
      <c r="G337" s="138"/>
      <c r="H337" s="138"/>
      <c r="I337" s="138"/>
      <c r="J337" s="138"/>
      <c r="K337" s="138"/>
      <c r="L337" s="138"/>
      <c r="M337" s="138"/>
      <c r="N337" s="138"/>
      <c r="O337" s="138"/>
      <c r="P337" s="138"/>
    </row>
    <row r="338">
      <c r="A338" s="138"/>
      <c r="B338" s="138"/>
      <c r="C338" s="138"/>
      <c r="D338" s="138"/>
      <c r="E338" s="138"/>
      <c r="F338" s="138"/>
      <c r="G338" s="138"/>
      <c r="H338" s="138"/>
      <c r="I338" s="138"/>
      <c r="J338" s="138"/>
      <c r="K338" s="138"/>
      <c r="L338" s="138"/>
      <c r="M338" s="138"/>
      <c r="N338" s="138"/>
      <c r="O338" s="138"/>
      <c r="P338" s="138"/>
    </row>
    <row r="339">
      <c r="A339" s="138"/>
      <c r="B339" s="138"/>
      <c r="C339" s="138"/>
      <c r="D339" s="138"/>
      <c r="E339" s="138"/>
      <c r="F339" s="138"/>
      <c r="G339" s="138"/>
      <c r="H339" s="138"/>
      <c r="I339" s="138"/>
      <c r="J339" s="138"/>
      <c r="K339" s="138"/>
      <c r="L339" s="138"/>
      <c r="M339" s="138"/>
      <c r="N339" s="138"/>
      <c r="O339" s="138"/>
      <c r="P339" s="138"/>
    </row>
    <row r="340">
      <c r="A340" s="138"/>
      <c r="B340" s="138"/>
      <c r="C340" s="138"/>
      <c r="D340" s="138"/>
      <c r="E340" s="138"/>
      <c r="F340" s="138"/>
      <c r="G340" s="138"/>
      <c r="H340" s="138"/>
      <c r="I340" s="138"/>
      <c r="J340" s="138"/>
      <c r="K340" s="138"/>
      <c r="L340" s="138"/>
      <c r="M340" s="138"/>
      <c r="N340" s="138"/>
      <c r="O340" s="138"/>
      <c r="P340" s="138"/>
    </row>
    <row r="341">
      <c r="A341" s="138"/>
      <c r="B341" s="138"/>
      <c r="C341" s="138"/>
      <c r="D341" s="138"/>
      <c r="E341" s="138"/>
      <c r="F341" s="138"/>
      <c r="G341" s="138"/>
      <c r="H341" s="138"/>
      <c r="I341" s="138"/>
      <c r="J341" s="138"/>
      <c r="K341" s="138"/>
      <c r="L341" s="138"/>
      <c r="M341" s="138"/>
      <c r="N341" s="138"/>
      <c r="O341" s="138"/>
      <c r="P341" s="138"/>
    </row>
    <row r="342">
      <c r="A342" s="138"/>
      <c r="B342" s="138"/>
      <c r="C342" s="138"/>
      <c r="D342" s="138"/>
      <c r="E342" s="138"/>
      <c r="F342" s="138"/>
      <c r="G342" s="138"/>
      <c r="H342" s="138"/>
      <c r="I342" s="138"/>
      <c r="J342" s="138"/>
      <c r="K342" s="138"/>
      <c r="L342" s="138"/>
      <c r="M342" s="138"/>
      <c r="N342" s="138"/>
      <c r="O342" s="138"/>
      <c r="P342" s="138"/>
    </row>
    <row r="343">
      <c r="A343" s="138"/>
      <c r="B343" s="138"/>
      <c r="C343" s="138"/>
      <c r="D343" s="138"/>
      <c r="E343" s="138"/>
      <c r="F343" s="138"/>
      <c r="G343" s="138"/>
      <c r="H343" s="138"/>
      <c r="I343" s="138"/>
      <c r="J343" s="138"/>
      <c r="K343" s="138"/>
      <c r="L343" s="138"/>
      <c r="M343" s="138"/>
      <c r="N343" s="138"/>
      <c r="O343" s="138"/>
      <c r="P343" s="138"/>
    </row>
    <row r="344">
      <c r="A344" s="138"/>
      <c r="B344" s="138"/>
      <c r="C344" s="138"/>
      <c r="D344" s="138"/>
      <c r="E344" s="138"/>
      <c r="F344" s="138"/>
      <c r="G344" s="138"/>
      <c r="H344" s="138"/>
      <c r="I344" s="138"/>
      <c r="J344" s="138"/>
      <c r="K344" s="138"/>
      <c r="L344" s="138"/>
      <c r="M344" s="138"/>
      <c r="N344" s="138"/>
      <c r="O344" s="138"/>
      <c r="P344" s="138"/>
    </row>
    <row r="345">
      <c r="A345" s="138"/>
      <c r="B345" s="138"/>
      <c r="C345" s="138"/>
      <c r="D345" s="138"/>
      <c r="E345" s="138"/>
      <c r="F345" s="138"/>
      <c r="G345" s="138"/>
      <c r="H345" s="138"/>
      <c r="I345" s="138"/>
      <c r="J345" s="138"/>
      <c r="K345" s="138"/>
      <c r="L345" s="138"/>
      <c r="M345" s="138"/>
      <c r="N345" s="138"/>
      <c r="O345" s="138"/>
      <c r="P345" s="138"/>
    </row>
    <row r="346">
      <c r="A346" s="138"/>
      <c r="B346" s="138"/>
      <c r="C346" s="138"/>
      <c r="D346" s="138"/>
      <c r="E346" s="138"/>
      <c r="F346" s="138"/>
      <c r="G346" s="138"/>
      <c r="H346" s="138"/>
      <c r="I346" s="138"/>
      <c r="J346" s="138"/>
      <c r="K346" s="138"/>
      <c r="L346" s="138"/>
      <c r="M346" s="138"/>
      <c r="N346" s="138"/>
      <c r="O346" s="138"/>
      <c r="P346" s="138"/>
    </row>
    <row r="347">
      <c r="A347" s="138"/>
      <c r="B347" s="138"/>
      <c r="C347" s="138"/>
      <c r="D347" s="138"/>
      <c r="E347" s="138"/>
      <c r="F347" s="138"/>
      <c r="G347" s="138"/>
      <c r="H347" s="138"/>
      <c r="I347" s="138"/>
      <c r="J347" s="138"/>
      <c r="K347" s="138"/>
      <c r="L347" s="138"/>
      <c r="M347" s="138"/>
      <c r="N347" s="138"/>
      <c r="O347" s="138"/>
      <c r="P347" s="138"/>
    </row>
    <row r="348">
      <c r="A348" s="138"/>
      <c r="B348" s="138"/>
      <c r="C348" s="138"/>
      <c r="D348" s="138"/>
      <c r="E348" s="138"/>
      <c r="F348" s="138"/>
      <c r="G348" s="138"/>
      <c r="H348" s="138"/>
      <c r="I348" s="138"/>
      <c r="J348" s="138"/>
      <c r="K348" s="138"/>
      <c r="L348" s="138"/>
      <c r="M348" s="138"/>
      <c r="N348" s="138"/>
      <c r="O348" s="138"/>
      <c r="P348" s="138"/>
    </row>
    <row r="349">
      <c r="A349" s="138"/>
      <c r="B349" s="138"/>
      <c r="C349" s="138"/>
      <c r="D349" s="138"/>
      <c r="E349" s="138"/>
      <c r="F349" s="138"/>
      <c r="G349" s="138"/>
      <c r="H349" s="138"/>
      <c r="I349" s="138"/>
      <c r="J349" s="138"/>
      <c r="K349" s="138"/>
      <c r="L349" s="138"/>
      <c r="M349" s="138"/>
      <c r="N349" s="138"/>
      <c r="O349" s="138"/>
      <c r="P349" s="138"/>
    </row>
    <row r="350">
      <c r="A350" s="138"/>
      <c r="B350" s="138"/>
      <c r="C350" s="138"/>
      <c r="D350" s="138"/>
      <c r="E350" s="138"/>
      <c r="F350" s="138"/>
      <c r="G350" s="138"/>
      <c r="H350" s="138"/>
      <c r="I350" s="138"/>
      <c r="J350" s="138"/>
      <c r="K350" s="138"/>
      <c r="L350" s="138"/>
      <c r="M350" s="138"/>
      <c r="N350" s="138"/>
      <c r="O350" s="138"/>
      <c r="P350" s="138"/>
    </row>
    <row r="351">
      <c r="A351" s="138"/>
      <c r="B351" s="138"/>
      <c r="C351" s="138"/>
      <c r="D351" s="138"/>
      <c r="E351" s="138"/>
      <c r="F351" s="138"/>
      <c r="G351" s="138"/>
      <c r="H351" s="138"/>
      <c r="I351" s="138"/>
      <c r="J351" s="138"/>
      <c r="K351" s="138"/>
      <c r="L351" s="138"/>
      <c r="M351" s="138"/>
      <c r="N351" s="138"/>
      <c r="O351" s="138"/>
      <c r="P351" s="138"/>
    </row>
    <row r="352">
      <c r="A352" s="138"/>
      <c r="B352" s="138"/>
      <c r="C352" s="138"/>
      <c r="D352" s="138"/>
      <c r="E352" s="138"/>
      <c r="F352" s="138"/>
      <c r="G352" s="138"/>
      <c r="H352" s="138"/>
      <c r="I352" s="138"/>
      <c r="J352" s="138"/>
      <c r="K352" s="138"/>
      <c r="L352" s="138"/>
      <c r="M352" s="138"/>
      <c r="N352" s="138"/>
      <c r="O352" s="138"/>
      <c r="P352" s="138"/>
    </row>
    <row r="353">
      <c r="A353" s="138"/>
      <c r="B353" s="138"/>
      <c r="C353" s="138"/>
      <c r="D353" s="138"/>
      <c r="E353" s="138"/>
      <c r="F353" s="138"/>
      <c r="G353" s="138"/>
      <c r="H353" s="138"/>
      <c r="I353" s="138"/>
      <c r="J353" s="138"/>
      <c r="K353" s="138"/>
      <c r="L353" s="138"/>
      <c r="M353" s="138"/>
      <c r="N353" s="138"/>
      <c r="O353" s="138"/>
      <c r="P353" s="138"/>
    </row>
    <row r="354">
      <c r="A354" s="138"/>
      <c r="B354" s="138"/>
      <c r="C354" s="138"/>
      <c r="D354" s="138"/>
      <c r="E354" s="138"/>
      <c r="F354" s="138"/>
      <c r="G354" s="138"/>
      <c r="H354" s="138"/>
      <c r="I354" s="138"/>
      <c r="J354" s="138"/>
      <c r="K354" s="138"/>
      <c r="L354" s="138"/>
      <c r="M354" s="138"/>
      <c r="N354" s="138"/>
      <c r="O354" s="138"/>
      <c r="P354" s="138"/>
    </row>
    <row r="355">
      <c r="A355" s="138"/>
      <c r="B355" s="138"/>
      <c r="C355" s="138"/>
      <c r="D355" s="138"/>
      <c r="E355" s="138"/>
      <c r="F355" s="138"/>
      <c r="G355" s="138"/>
      <c r="H355" s="138"/>
      <c r="I355" s="138"/>
      <c r="J355" s="138"/>
      <c r="K355" s="138"/>
      <c r="L355" s="138"/>
      <c r="M355" s="138"/>
      <c r="N355" s="138"/>
      <c r="O355" s="138"/>
      <c r="P355" s="138"/>
    </row>
    <row r="356">
      <c r="A356" s="138"/>
      <c r="B356" s="138"/>
      <c r="C356" s="138"/>
      <c r="D356" s="138"/>
      <c r="E356" s="138"/>
      <c r="F356" s="138"/>
      <c r="G356" s="138"/>
      <c r="H356" s="138"/>
      <c r="I356" s="138"/>
      <c r="J356" s="138"/>
      <c r="K356" s="138"/>
      <c r="L356" s="138"/>
      <c r="M356" s="138"/>
      <c r="N356" s="138"/>
      <c r="O356" s="138"/>
      <c r="P356" s="138"/>
    </row>
    <row r="357">
      <c r="A357" s="138"/>
      <c r="B357" s="138"/>
      <c r="C357" s="138"/>
      <c r="D357" s="138"/>
      <c r="E357" s="138"/>
      <c r="F357" s="138"/>
      <c r="G357" s="138"/>
      <c r="H357" s="138"/>
      <c r="I357" s="138"/>
      <c r="J357" s="138"/>
      <c r="K357" s="138"/>
      <c r="L357" s="138"/>
      <c r="M357" s="138"/>
      <c r="N357" s="138"/>
      <c r="O357" s="138"/>
      <c r="P357" s="138"/>
    </row>
    <row r="358">
      <c r="A358" s="138"/>
      <c r="B358" s="138"/>
      <c r="C358" s="138"/>
      <c r="D358" s="138"/>
      <c r="E358" s="138"/>
      <c r="F358" s="138"/>
      <c r="G358" s="138"/>
      <c r="H358" s="138"/>
      <c r="I358" s="138"/>
      <c r="J358" s="138"/>
      <c r="K358" s="138"/>
      <c r="L358" s="138"/>
      <c r="M358" s="138"/>
      <c r="N358" s="138"/>
      <c r="O358" s="138"/>
      <c r="P358" s="138"/>
    </row>
    <row r="359">
      <c r="A359" s="138"/>
      <c r="B359" s="138"/>
      <c r="C359" s="138"/>
      <c r="D359" s="138"/>
      <c r="E359" s="138"/>
      <c r="F359" s="138"/>
      <c r="G359" s="138"/>
      <c r="H359" s="138"/>
      <c r="I359" s="138"/>
      <c r="J359" s="138"/>
      <c r="K359" s="138"/>
      <c r="L359" s="138"/>
      <c r="M359" s="138"/>
      <c r="N359" s="138"/>
      <c r="O359" s="138"/>
      <c r="P359" s="138"/>
    </row>
    <row r="360">
      <c r="A360" s="138"/>
      <c r="B360" s="138"/>
      <c r="C360" s="138"/>
      <c r="D360" s="138"/>
      <c r="E360" s="138"/>
      <c r="F360" s="138"/>
      <c r="G360" s="138"/>
      <c r="H360" s="138"/>
      <c r="I360" s="138"/>
      <c r="J360" s="138"/>
      <c r="K360" s="138"/>
      <c r="L360" s="138"/>
      <c r="M360" s="138"/>
      <c r="N360" s="138"/>
      <c r="O360" s="138"/>
      <c r="P360" s="138"/>
    </row>
    <row r="361">
      <c r="A361" s="138"/>
      <c r="B361" s="138"/>
      <c r="C361" s="138"/>
      <c r="D361" s="138"/>
      <c r="E361" s="138"/>
      <c r="F361" s="138"/>
      <c r="G361" s="138"/>
      <c r="H361" s="138"/>
      <c r="I361" s="138"/>
      <c r="J361" s="138"/>
      <c r="K361" s="138"/>
      <c r="L361" s="138"/>
      <c r="M361" s="138"/>
      <c r="N361" s="138"/>
      <c r="O361" s="138"/>
      <c r="P361" s="138"/>
    </row>
    <row r="362">
      <c r="A362" s="138"/>
      <c r="B362" s="138"/>
      <c r="C362" s="138"/>
      <c r="D362" s="138"/>
      <c r="E362" s="138"/>
      <c r="F362" s="138"/>
      <c r="G362" s="138"/>
      <c r="H362" s="138"/>
      <c r="I362" s="138"/>
      <c r="J362" s="138"/>
      <c r="K362" s="138"/>
      <c r="L362" s="138"/>
      <c r="M362" s="138"/>
      <c r="N362" s="138"/>
      <c r="O362" s="138"/>
      <c r="P362" s="138"/>
    </row>
    <row r="363">
      <c r="A363" s="138"/>
      <c r="B363" s="138"/>
      <c r="C363" s="138"/>
      <c r="D363" s="138"/>
      <c r="E363" s="138"/>
      <c r="F363" s="138"/>
      <c r="G363" s="138"/>
      <c r="H363" s="138"/>
      <c r="I363" s="138"/>
      <c r="J363" s="138"/>
      <c r="K363" s="138"/>
      <c r="L363" s="138"/>
      <c r="M363" s="138"/>
      <c r="N363" s="138"/>
      <c r="O363" s="138"/>
      <c r="P363" s="138"/>
    </row>
    <row r="364">
      <c r="A364" s="138"/>
      <c r="B364" s="138"/>
      <c r="C364" s="138"/>
      <c r="D364" s="138"/>
      <c r="E364" s="138"/>
      <c r="F364" s="138"/>
      <c r="G364" s="138"/>
      <c r="H364" s="138"/>
      <c r="I364" s="138"/>
      <c r="J364" s="138"/>
      <c r="K364" s="138"/>
      <c r="L364" s="138"/>
      <c r="M364" s="138"/>
      <c r="N364" s="138"/>
      <c r="O364" s="138"/>
      <c r="P364" s="138"/>
    </row>
    <row r="365">
      <c r="A365" s="138"/>
      <c r="B365" s="138"/>
      <c r="C365" s="138"/>
      <c r="D365" s="138"/>
      <c r="E365" s="138"/>
      <c r="F365" s="138"/>
      <c r="G365" s="138"/>
      <c r="H365" s="138"/>
      <c r="I365" s="138"/>
      <c r="J365" s="138"/>
      <c r="K365" s="138"/>
      <c r="L365" s="138"/>
      <c r="M365" s="138"/>
      <c r="N365" s="138"/>
      <c r="O365" s="138"/>
      <c r="P365" s="138"/>
    </row>
    <row r="366">
      <c r="A366" s="138"/>
      <c r="B366" s="138"/>
      <c r="C366" s="138"/>
      <c r="D366" s="138"/>
      <c r="E366" s="138"/>
      <c r="F366" s="138"/>
      <c r="G366" s="138"/>
      <c r="H366" s="138"/>
      <c r="I366" s="138"/>
      <c r="J366" s="138"/>
      <c r="K366" s="138"/>
      <c r="L366" s="138"/>
      <c r="M366" s="138"/>
      <c r="N366" s="138"/>
      <c r="O366" s="138"/>
      <c r="P366" s="138"/>
    </row>
    <row r="367">
      <c r="A367" s="138"/>
      <c r="B367" s="138"/>
      <c r="C367" s="138"/>
      <c r="D367" s="138"/>
      <c r="E367" s="138"/>
      <c r="F367" s="138"/>
      <c r="G367" s="138"/>
      <c r="H367" s="138"/>
      <c r="I367" s="138"/>
      <c r="J367" s="138"/>
      <c r="K367" s="138"/>
      <c r="L367" s="138"/>
      <c r="M367" s="138"/>
      <c r="N367" s="138"/>
      <c r="O367" s="138"/>
      <c r="P367" s="138"/>
    </row>
    <row r="368">
      <c r="A368" s="138"/>
      <c r="B368" s="138"/>
      <c r="C368" s="138"/>
      <c r="D368" s="138"/>
      <c r="E368" s="138"/>
      <c r="F368" s="138"/>
      <c r="G368" s="138"/>
      <c r="H368" s="138"/>
      <c r="I368" s="138"/>
      <c r="J368" s="138"/>
      <c r="K368" s="138"/>
      <c r="L368" s="138"/>
      <c r="M368" s="138"/>
      <c r="N368" s="138"/>
      <c r="O368" s="138"/>
      <c r="P368" s="138"/>
    </row>
    <row r="369">
      <c r="A369" s="138"/>
      <c r="B369" s="138"/>
      <c r="C369" s="138"/>
      <c r="D369" s="138"/>
      <c r="E369" s="138"/>
      <c r="F369" s="138"/>
      <c r="G369" s="138"/>
      <c r="H369" s="138"/>
      <c r="I369" s="138"/>
      <c r="J369" s="138"/>
      <c r="K369" s="138"/>
      <c r="L369" s="138"/>
      <c r="M369" s="138"/>
      <c r="N369" s="138"/>
      <c r="O369" s="138"/>
      <c r="P369" s="138"/>
    </row>
    <row r="370">
      <c r="A370" s="138"/>
      <c r="B370" s="138"/>
      <c r="C370" s="138"/>
      <c r="D370" s="138"/>
      <c r="E370" s="138"/>
      <c r="F370" s="138"/>
      <c r="G370" s="138"/>
      <c r="H370" s="138"/>
      <c r="I370" s="138"/>
      <c r="J370" s="138"/>
      <c r="K370" s="138"/>
      <c r="L370" s="138"/>
      <c r="M370" s="138"/>
      <c r="N370" s="138"/>
      <c r="O370" s="138"/>
      <c r="P370" s="138"/>
    </row>
    <row r="371">
      <c r="A371" s="138"/>
      <c r="B371" s="138"/>
      <c r="C371" s="138"/>
      <c r="D371" s="138"/>
      <c r="E371" s="138"/>
      <c r="F371" s="138"/>
      <c r="G371" s="138"/>
      <c r="H371" s="138"/>
      <c r="I371" s="138"/>
      <c r="J371" s="138"/>
      <c r="K371" s="138"/>
      <c r="L371" s="138"/>
      <c r="M371" s="138"/>
      <c r="N371" s="138"/>
      <c r="O371" s="138"/>
      <c r="P371" s="138"/>
    </row>
    <row r="372">
      <c r="A372" s="138"/>
      <c r="B372" s="138"/>
      <c r="C372" s="138"/>
      <c r="D372" s="138"/>
      <c r="E372" s="138"/>
      <c r="F372" s="138"/>
      <c r="G372" s="138"/>
      <c r="H372" s="138"/>
      <c r="I372" s="138"/>
      <c r="J372" s="138"/>
      <c r="K372" s="138"/>
      <c r="L372" s="138"/>
      <c r="M372" s="138"/>
      <c r="N372" s="138"/>
      <c r="O372" s="138"/>
      <c r="P372" s="138"/>
    </row>
    <row r="373">
      <c r="A373" s="138"/>
      <c r="B373" s="138"/>
      <c r="C373" s="138"/>
      <c r="D373" s="138"/>
      <c r="E373" s="138"/>
      <c r="F373" s="138"/>
      <c r="G373" s="138"/>
      <c r="H373" s="138"/>
      <c r="I373" s="138"/>
      <c r="J373" s="138"/>
      <c r="K373" s="138"/>
      <c r="L373" s="138"/>
      <c r="M373" s="138"/>
      <c r="N373" s="138"/>
      <c r="O373" s="138"/>
      <c r="P373" s="138"/>
    </row>
    <row r="374">
      <c r="A374" s="138"/>
      <c r="B374" s="138"/>
      <c r="C374" s="138"/>
      <c r="D374" s="138"/>
      <c r="E374" s="138"/>
      <c r="F374" s="138"/>
      <c r="G374" s="138"/>
      <c r="H374" s="138"/>
      <c r="I374" s="138"/>
      <c r="J374" s="138"/>
      <c r="K374" s="138"/>
      <c r="L374" s="138"/>
      <c r="M374" s="138"/>
      <c r="N374" s="138"/>
      <c r="O374" s="138"/>
      <c r="P374" s="138"/>
    </row>
    <row r="375">
      <c r="A375" s="138"/>
      <c r="B375" s="138"/>
      <c r="C375" s="138"/>
      <c r="D375" s="138"/>
      <c r="E375" s="138"/>
      <c r="F375" s="138"/>
      <c r="G375" s="138"/>
      <c r="H375" s="138"/>
      <c r="I375" s="138"/>
      <c r="J375" s="138"/>
      <c r="K375" s="138"/>
      <c r="L375" s="138"/>
      <c r="M375" s="138"/>
      <c r="N375" s="138"/>
      <c r="O375" s="138"/>
      <c r="P375" s="138"/>
    </row>
    <row r="376">
      <c r="A376" s="138"/>
      <c r="B376" s="138"/>
      <c r="C376" s="138"/>
      <c r="D376" s="138"/>
      <c r="E376" s="138"/>
      <c r="F376" s="138"/>
      <c r="G376" s="138"/>
      <c r="H376" s="138"/>
      <c r="I376" s="138"/>
      <c r="J376" s="138"/>
      <c r="K376" s="138"/>
      <c r="L376" s="138"/>
      <c r="M376" s="138"/>
      <c r="N376" s="138"/>
      <c r="O376" s="138"/>
      <c r="P376" s="138"/>
    </row>
    <row r="377">
      <c r="A377" s="138"/>
      <c r="B377" s="138"/>
      <c r="C377" s="138"/>
      <c r="D377" s="138"/>
      <c r="E377" s="138"/>
      <c r="F377" s="138"/>
      <c r="G377" s="138"/>
      <c r="H377" s="138"/>
      <c r="I377" s="138"/>
      <c r="J377" s="138"/>
      <c r="K377" s="138"/>
      <c r="L377" s="138"/>
      <c r="M377" s="138"/>
      <c r="N377" s="138"/>
      <c r="O377" s="138"/>
      <c r="P377" s="138"/>
    </row>
    <row r="378">
      <c r="A378" s="138"/>
      <c r="B378" s="138"/>
      <c r="C378" s="138"/>
      <c r="D378" s="138"/>
      <c r="E378" s="138"/>
      <c r="F378" s="138"/>
      <c r="G378" s="138"/>
      <c r="H378" s="138"/>
      <c r="I378" s="138"/>
      <c r="J378" s="138"/>
      <c r="K378" s="138"/>
      <c r="L378" s="138"/>
      <c r="M378" s="138"/>
      <c r="N378" s="138"/>
      <c r="O378" s="138"/>
      <c r="P378" s="138"/>
    </row>
    <row r="379">
      <c r="A379" s="138"/>
      <c r="B379" s="138"/>
      <c r="C379" s="138"/>
      <c r="D379" s="138"/>
      <c r="E379" s="138"/>
      <c r="F379" s="138"/>
      <c r="G379" s="138"/>
      <c r="H379" s="138"/>
      <c r="I379" s="138"/>
      <c r="J379" s="138"/>
      <c r="K379" s="138"/>
      <c r="L379" s="138"/>
      <c r="M379" s="138"/>
      <c r="N379" s="138"/>
      <c r="O379" s="138"/>
      <c r="P379" s="138"/>
    </row>
    <row r="380">
      <c r="A380" s="138"/>
      <c r="B380" s="138"/>
      <c r="C380" s="138"/>
      <c r="D380" s="138"/>
      <c r="E380" s="138"/>
      <c r="F380" s="138"/>
      <c r="G380" s="138"/>
      <c r="H380" s="138"/>
      <c r="I380" s="138"/>
      <c r="J380" s="138"/>
      <c r="K380" s="138"/>
      <c r="L380" s="138"/>
      <c r="M380" s="138"/>
      <c r="N380" s="138"/>
      <c r="O380" s="138"/>
      <c r="P380" s="138"/>
    </row>
    <row r="381">
      <c r="A381" s="138"/>
      <c r="B381" s="138"/>
      <c r="C381" s="138"/>
      <c r="D381" s="138"/>
      <c r="E381" s="138"/>
      <c r="F381" s="138"/>
      <c r="G381" s="138"/>
      <c r="H381" s="138"/>
      <c r="I381" s="138"/>
      <c r="J381" s="138"/>
      <c r="K381" s="138"/>
      <c r="L381" s="138"/>
      <c r="M381" s="138"/>
      <c r="N381" s="138"/>
      <c r="O381" s="138"/>
      <c r="P381" s="138"/>
    </row>
    <row r="382">
      <c r="A382" s="138"/>
      <c r="B382" s="138"/>
      <c r="C382" s="138"/>
      <c r="D382" s="138"/>
      <c r="E382" s="138"/>
      <c r="F382" s="138"/>
      <c r="G382" s="138"/>
      <c r="H382" s="138"/>
      <c r="I382" s="138"/>
      <c r="J382" s="138"/>
      <c r="K382" s="138"/>
      <c r="L382" s="138"/>
      <c r="M382" s="138"/>
      <c r="N382" s="138"/>
      <c r="O382" s="138"/>
      <c r="P382" s="138"/>
    </row>
    <row r="383">
      <c r="A383" s="138"/>
      <c r="B383" s="138"/>
      <c r="C383" s="138"/>
      <c r="D383" s="138"/>
      <c r="E383" s="138"/>
      <c r="F383" s="138"/>
      <c r="G383" s="138"/>
      <c r="H383" s="138"/>
      <c r="I383" s="138"/>
      <c r="J383" s="138"/>
      <c r="K383" s="138"/>
      <c r="L383" s="138"/>
      <c r="M383" s="138"/>
      <c r="N383" s="138"/>
      <c r="O383" s="138"/>
      <c r="P383" s="138"/>
    </row>
    <row r="384">
      <c r="A384" s="138"/>
      <c r="B384" s="138"/>
      <c r="C384" s="138"/>
      <c r="D384" s="138"/>
      <c r="E384" s="138"/>
      <c r="F384" s="138"/>
      <c r="G384" s="138"/>
      <c r="H384" s="138"/>
      <c r="I384" s="138"/>
      <c r="J384" s="138"/>
      <c r="K384" s="138"/>
      <c r="L384" s="138"/>
      <c r="M384" s="138"/>
      <c r="N384" s="138"/>
      <c r="O384" s="138"/>
      <c r="P384" s="138"/>
    </row>
    <row r="385">
      <c r="A385" s="138"/>
      <c r="B385" s="138"/>
      <c r="C385" s="138"/>
      <c r="D385" s="138"/>
      <c r="E385" s="138"/>
      <c r="F385" s="138"/>
      <c r="G385" s="138"/>
      <c r="H385" s="138"/>
      <c r="I385" s="138"/>
      <c r="J385" s="138"/>
      <c r="K385" s="138"/>
      <c r="L385" s="138"/>
      <c r="M385" s="138"/>
      <c r="N385" s="138"/>
      <c r="O385" s="138"/>
      <c r="P385" s="138"/>
    </row>
    <row r="386">
      <c r="A386" s="138"/>
      <c r="B386" s="138"/>
      <c r="C386" s="138"/>
      <c r="D386" s="138"/>
      <c r="E386" s="138"/>
      <c r="F386" s="138"/>
      <c r="G386" s="138"/>
      <c r="H386" s="138"/>
      <c r="I386" s="138"/>
      <c r="J386" s="138"/>
      <c r="K386" s="138"/>
      <c r="L386" s="138"/>
      <c r="M386" s="138"/>
      <c r="N386" s="138"/>
      <c r="O386" s="138"/>
      <c r="P386" s="138"/>
    </row>
    <row r="387">
      <c r="A387" s="138"/>
      <c r="B387" s="138"/>
      <c r="C387" s="138"/>
      <c r="D387" s="138"/>
      <c r="E387" s="138"/>
      <c r="F387" s="138"/>
      <c r="G387" s="138"/>
      <c r="H387" s="138"/>
      <c r="I387" s="138"/>
      <c r="J387" s="138"/>
      <c r="K387" s="138"/>
      <c r="L387" s="138"/>
      <c r="M387" s="138"/>
      <c r="N387" s="138"/>
      <c r="O387" s="138"/>
      <c r="P387" s="138"/>
    </row>
    <row r="388">
      <c r="A388" s="138"/>
      <c r="B388" s="138"/>
      <c r="C388" s="138"/>
      <c r="D388" s="138"/>
      <c r="E388" s="138"/>
      <c r="F388" s="138"/>
      <c r="G388" s="138"/>
      <c r="H388" s="138"/>
      <c r="I388" s="138"/>
      <c r="J388" s="138"/>
      <c r="K388" s="138"/>
      <c r="L388" s="138"/>
      <c r="M388" s="138"/>
      <c r="N388" s="138"/>
      <c r="O388" s="138"/>
      <c r="P388" s="138"/>
    </row>
    <row r="389">
      <c r="A389" s="138"/>
      <c r="B389" s="138"/>
      <c r="C389" s="138"/>
      <c r="D389" s="138"/>
      <c r="E389" s="138"/>
      <c r="F389" s="138"/>
      <c r="G389" s="138"/>
      <c r="H389" s="138"/>
      <c r="I389" s="138"/>
      <c r="J389" s="138"/>
      <c r="K389" s="138"/>
      <c r="L389" s="138"/>
      <c r="M389" s="138"/>
      <c r="N389" s="138"/>
      <c r="O389" s="138"/>
      <c r="P389" s="138"/>
    </row>
    <row r="390">
      <c r="A390" s="138"/>
      <c r="B390" s="138"/>
      <c r="C390" s="138"/>
      <c r="D390" s="138"/>
      <c r="E390" s="138"/>
      <c r="F390" s="138"/>
      <c r="G390" s="138"/>
      <c r="H390" s="138"/>
      <c r="I390" s="138"/>
      <c r="J390" s="138"/>
      <c r="K390" s="138"/>
      <c r="L390" s="138"/>
      <c r="M390" s="138"/>
      <c r="N390" s="138"/>
      <c r="O390" s="138"/>
      <c r="P390" s="138"/>
    </row>
    <row r="391">
      <c r="A391" s="138"/>
      <c r="B391" s="138"/>
      <c r="C391" s="138"/>
      <c r="D391" s="138"/>
      <c r="E391" s="138"/>
      <c r="F391" s="138"/>
      <c r="G391" s="138"/>
      <c r="H391" s="138"/>
      <c r="I391" s="138"/>
      <c r="J391" s="138"/>
      <c r="K391" s="138"/>
      <c r="L391" s="138"/>
      <c r="M391" s="138"/>
      <c r="N391" s="138"/>
      <c r="O391" s="138"/>
      <c r="P391" s="138"/>
    </row>
    <row r="392">
      <c r="A392" s="138"/>
      <c r="B392" s="138"/>
      <c r="C392" s="138"/>
      <c r="D392" s="138"/>
      <c r="E392" s="138"/>
      <c r="F392" s="138"/>
      <c r="G392" s="138"/>
      <c r="H392" s="138"/>
      <c r="I392" s="138"/>
      <c r="J392" s="138"/>
      <c r="K392" s="138"/>
      <c r="L392" s="138"/>
      <c r="M392" s="138"/>
      <c r="N392" s="138"/>
      <c r="O392" s="138"/>
      <c r="P392" s="138"/>
    </row>
    <row r="393">
      <c r="A393" s="138"/>
      <c r="B393" s="138"/>
      <c r="C393" s="138"/>
      <c r="D393" s="138"/>
      <c r="E393" s="138"/>
      <c r="F393" s="138"/>
      <c r="G393" s="138"/>
      <c r="H393" s="138"/>
      <c r="I393" s="138"/>
      <c r="J393" s="138"/>
      <c r="K393" s="138"/>
      <c r="L393" s="138"/>
      <c r="M393" s="138"/>
      <c r="N393" s="138"/>
      <c r="O393" s="138"/>
      <c r="P393" s="138"/>
    </row>
    <row r="394">
      <c r="A394" s="138"/>
      <c r="B394" s="138"/>
      <c r="C394" s="138"/>
      <c r="D394" s="138"/>
      <c r="E394" s="138"/>
      <c r="F394" s="138"/>
      <c r="G394" s="138"/>
      <c r="H394" s="138"/>
      <c r="I394" s="138"/>
      <c r="J394" s="138"/>
      <c r="K394" s="138"/>
      <c r="L394" s="138"/>
      <c r="M394" s="138"/>
      <c r="N394" s="138"/>
      <c r="O394" s="138"/>
      <c r="P394" s="138"/>
    </row>
    <row r="395">
      <c r="A395" s="138"/>
      <c r="B395" s="138"/>
      <c r="C395" s="138"/>
      <c r="D395" s="138"/>
      <c r="E395" s="138"/>
      <c r="F395" s="138"/>
      <c r="G395" s="138"/>
      <c r="H395" s="138"/>
      <c r="I395" s="138"/>
      <c r="J395" s="138"/>
      <c r="K395" s="138"/>
      <c r="L395" s="138"/>
      <c r="M395" s="138"/>
      <c r="N395" s="138"/>
      <c r="O395" s="138"/>
      <c r="P395" s="138"/>
    </row>
    <row r="396">
      <c r="A396" s="138"/>
      <c r="B396" s="138"/>
      <c r="C396" s="138"/>
      <c r="D396" s="138"/>
      <c r="E396" s="138"/>
      <c r="F396" s="138"/>
      <c r="G396" s="138"/>
      <c r="H396" s="138"/>
      <c r="I396" s="138"/>
      <c r="J396" s="138"/>
      <c r="K396" s="138"/>
      <c r="L396" s="138"/>
      <c r="M396" s="138"/>
      <c r="N396" s="138"/>
      <c r="O396" s="138"/>
      <c r="P396" s="138"/>
    </row>
    <row r="397">
      <c r="A397" s="138"/>
      <c r="B397" s="138"/>
      <c r="C397" s="138"/>
      <c r="D397" s="138"/>
      <c r="E397" s="138"/>
      <c r="F397" s="138"/>
      <c r="G397" s="138"/>
      <c r="H397" s="138"/>
      <c r="I397" s="138"/>
      <c r="J397" s="138"/>
      <c r="K397" s="138"/>
      <c r="L397" s="138"/>
      <c r="M397" s="138"/>
      <c r="N397" s="138"/>
      <c r="O397" s="138"/>
      <c r="P397" s="138"/>
    </row>
    <row r="398">
      <c r="A398" s="138"/>
      <c r="B398" s="138"/>
      <c r="C398" s="138"/>
      <c r="D398" s="138"/>
      <c r="E398" s="138"/>
      <c r="F398" s="138"/>
      <c r="G398" s="138"/>
      <c r="H398" s="138"/>
      <c r="I398" s="138"/>
      <c r="J398" s="138"/>
      <c r="K398" s="138"/>
      <c r="L398" s="138"/>
      <c r="M398" s="138"/>
      <c r="N398" s="138"/>
      <c r="O398" s="138"/>
      <c r="P398" s="138"/>
    </row>
    <row r="399">
      <c r="A399" s="138"/>
      <c r="B399" s="138"/>
      <c r="C399" s="138"/>
      <c r="D399" s="138"/>
      <c r="E399" s="138"/>
      <c r="F399" s="138"/>
      <c r="G399" s="138"/>
      <c r="H399" s="138"/>
      <c r="I399" s="138"/>
      <c r="J399" s="138"/>
      <c r="K399" s="138"/>
      <c r="L399" s="138"/>
      <c r="M399" s="138"/>
      <c r="N399" s="138"/>
      <c r="O399" s="138"/>
      <c r="P399" s="138"/>
    </row>
    <row r="400">
      <c r="A400" s="138"/>
      <c r="B400" s="138"/>
      <c r="C400" s="138"/>
      <c r="D400" s="138"/>
      <c r="E400" s="138"/>
      <c r="F400" s="138"/>
      <c r="G400" s="138"/>
      <c r="H400" s="138"/>
      <c r="I400" s="138"/>
      <c r="J400" s="138"/>
      <c r="K400" s="138"/>
      <c r="L400" s="138"/>
      <c r="M400" s="138"/>
      <c r="N400" s="138"/>
      <c r="O400" s="138"/>
      <c r="P400" s="138"/>
    </row>
    <row r="401">
      <c r="A401" s="138"/>
      <c r="B401" s="138"/>
      <c r="C401" s="138"/>
      <c r="D401" s="138"/>
      <c r="E401" s="138"/>
      <c r="F401" s="138"/>
      <c r="G401" s="138"/>
      <c r="H401" s="138"/>
      <c r="I401" s="138"/>
      <c r="J401" s="138"/>
      <c r="K401" s="138"/>
      <c r="L401" s="138"/>
      <c r="M401" s="138"/>
      <c r="N401" s="138"/>
      <c r="O401" s="138"/>
      <c r="P401" s="138"/>
    </row>
    <row r="402">
      <c r="A402" s="138"/>
      <c r="B402" s="138"/>
      <c r="C402" s="138"/>
      <c r="D402" s="138"/>
      <c r="E402" s="138"/>
      <c r="F402" s="138"/>
      <c r="G402" s="138"/>
      <c r="H402" s="138"/>
      <c r="I402" s="138"/>
      <c r="J402" s="138"/>
      <c r="K402" s="138"/>
      <c r="L402" s="138"/>
      <c r="M402" s="138"/>
      <c r="N402" s="138"/>
      <c r="O402" s="138"/>
      <c r="P402" s="138"/>
    </row>
    <row r="403">
      <c r="A403" s="138"/>
      <c r="B403" s="138"/>
      <c r="C403" s="138"/>
      <c r="D403" s="138"/>
      <c r="E403" s="138"/>
      <c r="F403" s="138"/>
      <c r="G403" s="138"/>
      <c r="H403" s="138"/>
      <c r="I403" s="138"/>
      <c r="J403" s="138"/>
      <c r="K403" s="138"/>
      <c r="L403" s="138"/>
      <c r="M403" s="138"/>
      <c r="N403" s="138"/>
      <c r="O403" s="138"/>
      <c r="P403" s="138"/>
    </row>
    <row r="404">
      <c r="A404" s="138"/>
      <c r="B404" s="138"/>
      <c r="C404" s="138"/>
      <c r="D404" s="138"/>
      <c r="E404" s="138"/>
      <c r="F404" s="138"/>
      <c r="G404" s="138"/>
      <c r="H404" s="138"/>
      <c r="I404" s="138"/>
      <c r="J404" s="138"/>
      <c r="K404" s="138"/>
      <c r="L404" s="138"/>
      <c r="M404" s="138"/>
      <c r="N404" s="138"/>
      <c r="O404" s="138"/>
      <c r="P404" s="138"/>
    </row>
    <row r="405">
      <c r="A405" s="138"/>
      <c r="B405" s="138"/>
      <c r="C405" s="138"/>
      <c r="D405" s="138"/>
      <c r="E405" s="138"/>
      <c r="F405" s="138"/>
      <c r="G405" s="138"/>
      <c r="H405" s="138"/>
      <c r="I405" s="138"/>
      <c r="J405" s="138"/>
      <c r="K405" s="138"/>
      <c r="L405" s="138"/>
      <c r="M405" s="138"/>
      <c r="N405" s="138"/>
      <c r="O405" s="138"/>
      <c r="P405" s="138"/>
    </row>
    <row r="406">
      <c r="A406" s="138"/>
      <c r="B406" s="138"/>
      <c r="C406" s="138"/>
      <c r="D406" s="138"/>
      <c r="E406" s="138"/>
      <c r="F406" s="138"/>
      <c r="G406" s="138"/>
      <c r="H406" s="138"/>
      <c r="I406" s="138"/>
      <c r="J406" s="138"/>
      <c r="K406" s="138"/>
      <c r="L406" s="138"/>
      <c r="M406" s="138"/>
      <c r="N406" s="138"/>
      <c r="O406" s="138"/>
      <c r="P406" s="138"/>
    </row>
    <row r="407">
      <c r="A407" s="138"/>
      <c r="B407" s="138"/>
      <c r="C407" s="138"/>
      <c r="D407" s="138"/>
      <c r="E407" s="138"/>
      <c r="F407" s="138"/>
      <c r="G407" s="138"/>
      <c r="H407" s="138"/>
      <c r="I407" s="138"/>
      <c r="J407" s="138"/>
      <c r="K407" s="138"/>
      <c r="L407" s="138"/>
      <c r="M407" s="138"/>
      <c r="N407" s="138"/>
      <c r="O407" s="138"/>
      <c r="P407" s="138"/>
    </row>
    <row r="408">
      <c r="A408" s="138"/>
      <c r="B408" s="138"/>
      <c r="C408" s="138"/>
      <c r="D408" s="138"/>
      <c r="E408" s="138"/>
      <c r="F408" s="138"/>
      <c r="G408" s="138"/>
      <c r="H408" s="138"/>
      <c r="I408" s="138"/>
      <c r="J408" s="138"/>
      <c r="K408" s="138"/>
      <c r="L408" s="138"/>
      <c r="M408" s="138"/>
      <c r="N408" s="138"/>
      <c r="O408" s="138"/>
      <c r="P408" s="138"/>
    </row>
    <row r="409">
      <c r="A409" s="138"/>
      <c r="B409" s="138"/>
      <c r="C409" s="138"/>
      <c r="D409" s="138"/>
      <c r="E409" s="138"/>
      <c r="F409" s="138"/>
      <c r="G409" s="138"/>
      <c r="H409" s="138"/>
      <c r="I409" s="138"/>
      <c r="J409" s="138"/>
      <c r="K409" s="138"/>
      <c r="L409" s="138"/>
      <c r="M409" s="138"/>
      <c r="N409" s="138"/>
      <c r="O409" s="138"/>
      <c r="P409" s="138"/>
    </row>
    <row r="410">
      <c r="A410" s="138"/>
      <c r="B410" s="138"/>
      <c r="C410" s="138"/>
      <c r="D410" s="138"/>
      <c r="E410" s="138"/>
      <c r="F410" s="138"/>
      <c r="G410" s="138"/>
      <c r="H410" s="138"/>
      <c r="I410" s="138"/>
      <c r="J410" s="138"/>
      <c r="K410" s="138"/>
      <c r="L410" s="138"/>
      <c r="M410" s="138"/>
      <c r="N410" s="138"/>
      <c r="O410" s="138"/>
      <c r="P410" s="138"/>
    </row>
    <row r="411">
      <c r="A411" s="138"/>
      <c r="B411" s="138"/>
      <c r="C411" s="138"/>
      <c r="D411" s="138"/>
      <c r="E411" s="138"/>
      <c r="F411" s="138"/>
      <c r="G411" s="138"/>
      <c r="H411" s="138"/>
      <c r="I411" s="138"/>
      <c r="J411" s="138"/>
      <c r="K411" s="138"/>
      <c r="L411" s="138"/>
      <c r="M411" s="138"/>
      <c r="N411" s="138"/>
      <c r="O411" s="138"/>
      <c r="P411" s="138"/>
    </row>
    <row r="412">
      <c r="A412" s="138"/>
      <c r="B412" s="138"/>
      <c r="C412" s="138"/>
      <c r="D412" s="138"/>
      <c r="E412" s="138"/>
      <c r="F412" s="138"/>
      <c r="G412" s="138"/>
      <c r="H412" s="138"/>
      <c r="I412" s="138"/>
      <c r="J412" s="138"/>
      <c r="K412" s="138"/>
      <c r="L412" s="138"/>
      <c r="M412" s="138"/>
      <c r="N412" s="138"/>
      <c r="O412" s="138"/>
      <c r="P412" s="138"/>
    </row>
    <row r="413">
      <c r="A413" s="138"/>
      <c r="B413" s="138"/>
      <c r="C413" s="138"/>
      <c r="D413" s="138"/>
      <c r="E413" s="138"/>
      <c r="F413" s="138"/>
      <c r="G413" s="138"/>
      <c r="H413" s="138"/>
      <c r="I413" s="138"/>
      <c r="J413" s="138"/>
      <c r="K413" s="138"/>
      <c r="L413" s="138"/>
      <c r="M413" s="138"/>
      <c r="N413" s="138"/>
      <c r="O413" s="138"/>
      <c r="P413" s="138"/>
    </row>
    <row r="414">
      <c r="A414" s="138"/>
      <c r="B414" s="138"/>
      <c r="C414" s="138"/>
      <c r="D414" s="138"/>
      <c r="E414" s="138"/>
      <c r="F414" s="138"/>
      <c r="G414" s="138"/>
      <c r="H414" s="138"/>
      <c r="I414" s="138"/>
      <c r="J414" s="138"/>
      <c r="K414" s="138"/>
      <c r="L414" s="138"/>
      <c r="M414" s="138"/>
      <c r="N414" s="138"/>
      <c r="O414" s="138"/>
      <c r="P414" s="138"/>
    </row>
    <row r="415">
      <c r="A415" s="138"/>
      <c r="B415" s="138"/>
      <c r="C415" s="138"/>
      <c r="D415" s="138"/>
      <c r="E415" s="138"/>
      <c r="F415" s="138"/>
      <c r="G415" s="138"/>
      <c r="H415" s="138"/>
      <c r="I415" s="138"/>
      <c r="J415" s="138"/>
      <c r="K415" s="138"/>
      <c r="L415" s="138"/>
      <c r="M415" s="138"/>
      <c r="N415" s="138"/>
      <c r="O415" s="138"/>
      <c r="P415" s="138"/>
    </row>
    <row r="416">
      <c r="A416" s="138"/>
      <c r="B416" s="138"/>
      <c r="C416" s="138"/>
      <c r="D416" s="138"/>
      <c r="E416" s="138"/>
      <c r="F416" s="138"/>
      <c r="G416" s="138"/>
      <c r="H416" s="138"/>
      <c r="I416" s="138"/>
      <c r="J416" s="138"/>
      <c r="K416" s="138"/>
      <c r="L416" s="138"/>
      <c r="M416" s="138"/>
      <c r="N416" s="138"/>
      <c r="O416" s="138"/>
      <c r="P416" s="138"/>
    </row>
    <row r="417">
      <c r="A417" s="138"/>
      <c r="B417" s="138"/>
      <c r="C417" s="138"/>
      <c r="D417" s="138"/>
      <c r="E417" s="138"/>
      <c r="F417" s="138"/>
      <c r="G417" s="138"/>
      <c r="H417" s="138"/>
      <c r="I417" s="138"/>
      <c r="J417" s="138"/>
      <c r="K417" s="138"/>
      <c r="L417" s="138"/>
      <c r="M417" s="138"/>
      <c r="N417" s="138"/>
      <c r="O417" s="138"/>
      <c r="P417" s="138"/>
    </row>
    <row r="418">
      <c r="A418" s="138"/>
      <c r="B418" s="138"/>
      <c r="C418" s="138"/>
      <c r="D418" s="138"/>
      <c r="E418" s="138"/>
      <c r="F418" s="138"/>
      <c r="G418" s="138"/>
      <c r="H418" s="138"/>
      <c r="I418" s="138"/>
      <c r="J418" s="138"/>
      <c r="K418" s="138"/>
      <c r="L418" s="138"/>
      <c r="M418" s="138"/>
      <c r="N418" s="138"/>
      <c r="O418" s="138"/>
      <c r="P418" s="138"/>
    </row>
    <row r="419">
      <c r="A419" s="138"/>
      <c r="B419" s="138"/>
      <c r="C419" s="138"/>
      <c r="D419" s="138"/>
      <c r="E419" s="138"/>
      <c r="F419" s="138"/>
      <c r="G419" s="138"/>
      <c r="H419" s="138"/>
      <c r="I419" s="138"/>
      <c r="J419" s="138"/>
      <c r="K419" s="138"/>
      <c r="L419" s="138"/>
      <c r="M419" s="138"/>
      <c r="N419" s="138"/>
      <c r="O419" s="138"/>
      <c r="P419" s="138"/>
    </row>
    <row r="420">
      <c r="A420" s="138"/>
      <c r="B420" s="138"/>
      <c r="C420" s="138"/>
      <c r="D420" s="138"/>
      <c r="E420" s="138"/>
      <c r="F420" s="138"/>
      <c r="G420" s="138"/>
      <c r="H420" s="138"/>
      <c r="I420" s="138"/>
      <c r="J420" s="138"/>
      <c r="K420" s="138"/>
      <c r="L420" s="138"/>
      <c r="M420" s="138"/>
      <c r="N420" s="138"/>
      <c r="O420" s="138"/>
      <c r="P420" s="138"/>
    </row>
    <row r="421">
      <c r="A421" s="138"/>
      <c r="B421" s="138"/>
      <c r="C421" s="138"/>
      <c r="D421" s="138"/>
      <c r="E421" s="138"/>
      <c r="F421" s="138"/>
      <c r="G421" s="138"/>
      <c r="H421" s="138"/>
      <c r="I421" s="138"/>
      <c r="J421" s="138"/>
      <c r="K421" s="138"/>
      <c r="L421" s="138"/>
      <c r="M421" s="138"/>
      <c r="N421" s="138"/>
      <c r="O421" s="138"/>
      <c r="P421" s="138"/>
    </row>
    <row r="422">
      <c r="A422" s="138"/>
      <c r="B422" s="138"/>
      <c r="C422" s="138"/>
      <c r="D422" s="138"/>
      <c r="E422" s="138"/>
      <c r="F422" s="138"/>
      <c r="G422" s="138"/>
      <c r="H422" s="138"/>
      <c r="I422" s="138"/>
      <c r="J422" s="138"/>
      <c r="K422" s="138"/>
      <c r="L422" s="138"/>
      <c r="M422" s="138"/>
      <c r="N422" s="138"/>
      <c r="O422" s="138"/>
      <c r="P422" s="138"/>
    </row>
    <row r="423">
      <c r="A423" s="138"/>
      <c r="B423" s="138"/>
      <c r="C423" s="138"/>
      <c r="D423" s="138"/>
      <c r="E423" s="138"/>
      <c r="F423" s="138"/>
      <c r="G423" s="138"/>
      <c r="H423" s="138"/>
      <c r="I423" s="138"/>
      <c r="J423" s="138"/>
      <c r="K423" s="138"/>
      <c r="L423" s="138"/>
      <c r="M423" s="138"/>
      <c r="N423" s="138"/>
      <c r="O423" s="138"/>
      <c r="P423" s="138"/>
    </row>
    <row r="424">
      <c r="A424" s="138"/>
      <c r="B424" s="138"/>
      <c r="C424" s="138"/>
      <c r="D424" s="138"/>
      <c r="E424" s="138"/>
      <c r="F424" s="138"/>
      <c r="G424" s="138"/>
      <c r="H424" s="138"/>
      <c r="I424" s="138"/>
      <c r="J424" s="138"/>
      <c r="K424" s="138"/>
      <c r="L424" s="138"/>
      <c r="M424" s="138"/>
      <c r="N424" s="138"/>
      <c r="O424" s="138"/>
      <c r="P424" s="138"/>
    </row>
    <row r="425">
      <c r="A425" s="138"/>
      <c r="B425" s="138"/>
      <c r="C425" s="138"/>
      <c r="D425" s="138"/>
      <c r="E425" s="138"/>
      <c r="F425" s="138"/>
      <c r="G425" s="138"/>
      <c r="H425" s="138"/>
      <c r="I425" s="138"/>
      <c r="J425" s="138"/>
      <c r="K425" s="138"/>
      <c r="L425" s="138"/>
      <c r="M425" s="138"/>
      <c r="N425" s="138"/>
      <c r="O425" s="138"/>
      <c r="P425" s="138"/>
    </row>
    <row r="426">
      <c r="A426" s="138"/>
      <c r="B426" s="138"/>
      <c r="C426" s="138"/>
      <c r="D426" s="138"/>
      <c r="E426" s="138"/>
      <c r="F426" s="138"/>
      <c r="G426" s="138"/>
      <c r="H426" s="138"/>
      <c r="I426" s="138"/>
      <c r="J426" s="138"/>
      <c r="K426" s="138"/>
      <c r="L426" s="138"/>
      <c r="M426" s="138"/>
      <c r="N426" s="138"/>
      <c r="O426" s="138"/>
      <c r="P426" s="138"/>
    </row>
    <row r="427">
      <c r="A427" s="138"/>
      <c r="B427" s="138"/>
      <c r="C427" s="138"/>
      <c r="D427" s="138"/>
      <c r="E427" s="138"/>
      <c r="F427" s="138"/>
      <c r="G427" s="138"/>
      <c r="H427" s="138"/>
      <c r="I427" s="138"/>
      <c r="J427" s="138"/>
      <c r="K427" s="138"/>
      <c r="L427" s="138"/>
      <c r="M427" s="138"/>
      <c r="N427" s="138"/>
      <c r="O427" s="138"/>
      <c r="P427" s="138"/>
    </row>
    <row r="428">
      <c r="A428" s="138"/>
      <c r="B428" s="138"/>
      <c r="C428" s="138"/>
      <c r="D428" s="138"/>
      <c r="E428" s="138"/>
      <c r="F428" s="138"/>
      <c r="G428" s="138"/>
      <c r="H428" s="138"/>
      <c r="I428" s="138"/>
      <c r="J428" s="138"/>
      <c r="K428" s="138"/>
      <c r="L428" s="138"/>
      <c r="M428" s="138"/>
      <c r="N428" s="138"/>
      <c r="O428" s="138"/>
      <c r="P428" s="138"/>
    </row>
    <row r="429">
      <c r="A429" s="138"/>
      <c r="B429" s="138"/>
      <c r="C429" s="138"/>
      <c r="D429" s="138"/>
      <c r="E429" s="138"/>
      <c r="F429" s="138"/>
      <c r="G429" s="138"/>
      <c r="H429" s="138"/>
      <c r="I429" s="138"/>
      <c r="J429" s="138"/>
      <c r="K429" s="138"/>
      <c r="L429" s="138"/>
      <c r="M429" s="138"/>
      <c r="N429" s="138"/>
      <c r="O429" s="138"/>
      <c r="P429" s="138"/>
    </row>
    <row r="430">
      <c r="A430" s="138"/>
      <c r="B430" s="138"/>
      <c r="C430" s="138"/>
      <c r="D430" s="138"/>
      <c r="E430" s="138"/>
      <c r="F430" s="138"/>
      <c r="G430" s="138"/>
      <c r="H430" s="138"/>
      <c r="I430" s="138"/>
      <c r="J430" s="138"/>
      <c r="K430" s="138"/>
      <c r="L430" s="138"/>
      <c r="M430" s="138"/>
      <c r="N430" s="138"/>
      <c r="O430" s="138"/>
      <c r="P430" s="138"/>
    </row>
    <row r="431">
      <c r="A431" s="138"/>
      <c r="B431" s="138"/>
      <c r="C431" s="138"/>
      <c r="D431" s="138"/>
      <c r="E431" s="138"/>
      <c r="F431" s="138"/>
      <c r="G431" s="138"/>
      <c r="H431" s="138"/>
      <c r="I431" s="138"/>
      <c r="J431" s="138"/>
      <c r="K431" s="138"/>
      <c r="L431" s="138"/>
      <c r="M431" s="138"/>
      <c r="N431" s="138"/>
      <c r="O431" s="138"/>
      <c r="P431" s="138"/>
    </row>
    <row r="432">
      <c r="A432" s="138"/>
      <c r="B432" s="138"/>
      <c r="C432" s="138"/>
      <c r="D432" s="138"/>
      <c r="E432" s="138"/>
      <c r="F432" s="138"/>
      <c r="G432" s="138"/>
      <c r="H432" s="138"/>
      <c r="I432" s="138"/>
      <c r="J432" s="138"/>
      <c r="K432" s="138"/>
      <c r="L432" s="138"/>
      <c r="M432" s="138"/>
      <c r="N432" s="138"/>
      <c r="O432" s="138"/>
      <c r="P432" s="138"/>
    </row>
    <row r="433">
      <c r="A433" s="138"/>
      <c r="B433" s="138"/>
      <c r="C433" s="138"/>
      <c r="D433" s="138"/>
      <c r="E433" s="138"/>
      <c r="F433" s="138"/>
      <c r="G433" s="138"/>
      <c r="H433" s="138"/>
      <c r="I433" s="138"/>
      <c r="J433" s="138"/>
      <c r="K433" s="138"/>
      <c r="L433" s="138"/>
      <c r="M433" s="138"/>
      <c r="N433" s="138"/>
      <c r="O433" s="138"/>
      <c r="P433" s="138"/>
    </row>
    <row r="434">
      <c r="A434" s="138"/>
      <c r="B434" s="138"/>
      <c r="C434" s="138"/>
      <c r="D434" s="138"/>
      <c r="E434" s="138"/>
      <c r="F434" s="138"/>
      <c r="G434" s="138"/>
      <c r="H434" s="138"/>
      <c r="I434" s="138"/>
      <c r="J434" s="138"/>
      <c r="K434" s="138"/>
      <c r="L434" s="138"/>
      <c r="M434" s="138"/>
      <c r="N434" s="138"/>
      <c r="O434" s="138"/>
      <c r="P434" s="138"/>
    </row>
    <row r="435">
      <c r="A435" s="138"/>
      <c r="B435" s="138"/>
      <c r="C435" s="138"/>
      <c r="D435" s="138"/>
      <c r="E435" s="138"/>
      <c r="F435" s="138"/>
      <c r="G435" s="138"/>
      <c r="H435" s="138"/>
      <c r="I435" s="138"/>
      <c r="J435" s="138"/>
      <c r="K435" s="138"/>
      <c r="L435" s="138"/>
      <c r="M435" s="138"/>
      <c r="N435" s="138"/>
      <c r="O435" s="138"/>
      <c r="P435" s="138"/>
    </row>
    <row r="436">
      <c r="A436" s="138"/>
      <c r="B436" s="138"/>
      <c r="C436" s="138"/>
      <c r="D436" s="138"/>
      <c r="E436" s="138"/>
      <c r="F436" s="138"/>
      <c r="G436" s="138"/>
      <c r="H436" s="138"/>
      <c r="I436" s="138"/>
      <c r="J436" s="138"/>
      <c r="K436" s="138"/>
      <c r="L436" s="138"/>
      <c r="M436" s="138"/>
      <c r="N436" s="138"/>
      <c r="O436" s="138"/>
      <c r="P436" s="138"/>
    </row>
    <row r="437">
      <c r="A437" s="138"/>
      <c r="B437" s="138"/>
      <c r="C437" s="138"/>
      <c r="D437" s="138"/>
      <c r="E437" s="138"/>
      <c r="F437" s="138"/>
      <c r="G437" s="138"/>
      <c r="H437" s="138"/>
      <c r="I437" s="138"/>
      <c r="J437" s="138"/>
      <c r="K437" s="138"/>
      <c r="L437" s="138"/>
      <c r="M437" s="138"/>
      <c r="N437" s="138"/>
      <c r="O437" s="138"/>
      <c r="P437" s="138"/>
    </row>
    <row r="438">
      <c r="A438" s="138"/>
      <c r="B438" s="138"/>
      <c r="C438" s="138"/>
      <c r="D438" s="138"/>
      <c r="E438" s="138"/>
      <c r="F438" s="138"/>
      <c r="G438" s="138"/>
      <c r="H438" s="138"/>
      <c r="I438" s="138"/>
      <c r="J438" s="138"/>
      <c r="K438" s="138"/>
      <c r="L438" s="138"/>
      <c r="M438" s="138"/>
      <c r="N438" s="138"/>
      <c r="O438" s="138"/>
      <c r="P438" s="138"/>
    </row>
    <row r="439">
      <c r="A439" s="138"/>
      <c r="B439" s="138"/>
      <c r="C439" s="138"/>
      <c r="D439" s="138"/>
      <c r="E439" s="138"/>
      <c r="F439" s="138"/>
      <c r="G439" s="138"/>
      <c r="H439" s="138"/>
      <c r="I439" s="138"/>
      <c r="J439" s="138"/>
      <c r="K439" s="138"/>
      <c r="L439" s="138"/>
      <c r="M439" s="138"/>
      <c r="N439" s="138"/>
      <c r="O439" s="138"/>
      <c r="P439" s="138"/>
    </row>
    <row r="440">
      <c r="A440" s="138"/>
      <c r="B440" s="138"/>
      <c r="C440" s="138"/>
      <c r="D440" s="138"/>
      <c r="E440" s="138"/>
      <c r="F440" s="138"/>
      <c r="G440" s="138"/>
      <c r="H440" s="138"/>
      <c r="I440" s="138"/>
      <c r="J440" s="138"/>
      <c r="K440" s="138"/>
      <c r="L440" s="138"/>
      <c r="M440" s="138"/>
      <c r="N440" s="138"/>
      <c r="O440" s="138"/>
      <c r="P440" s="138"/>
    </row>
    <row r="441">
      <c r="A441" s="138"/>
      <c r="B441" s="138"/>
      <c r="C441" s="138"/>
      <c r="D441" s="138"/>
      <c r="E441" s="138"/>
      <c r="F441" s="138"/>
      <c r="G441" s="138"/>
      <c r="H441" s="138"/>
      <c r="I441" s="138"/>
      <c r="J441" s="138"/>
      <c r="K441" s="138"/>
      <c r="L441" s="138"/>
      <c r="M441" s="138"/>
      <c r="N441" s="138"/>
      <c r="O441" s="138"/>
      <c r="P441" s="138"/>
    </row>
    <row r="442">
      <c r="A442" s="138"/>
      <c r="B442" s="138"/>
      <c r="C442" s="138"/>
      <c r="D442" s="138"/>
      <c r="E442" s="138"/>
      <c r="F442" s="138"/>
      <c r="G442" s="138"/>
      <c r="H442" s="138"/>
      <c r="I442" s="138"/>
      <c r="J442" s="138"/>
      <c r="K442" s="138"/>
      <c r="L442" s="138"/>
      <c r="M442" s="138"/>
      <c r="N442" s="138"/>
      <c r="O442" s="138"/>
      <c r="P442" s="138"/>
    </row>
    <row r="443">
      <c r="A443" s="138"/>
      <c r="B443" s="138"/>
      <c r="C443" s="138"/>
      <c r="D443" s="138"/>
      <c r="E443" s="138"/>
      <c r="F443" s="138"/>
      <c r="G443" s="138"/>
      <c r="H443" s="138"/>
      <c r="I443" s="138"/>
      <c r="J443" s="138"/>
      <c r="K443" s="138"/>
      <c r="L443" s="138"/>
      <c r="M443" s="138"/>
      <c r="N443" s="138"/>
      <c r="O443" s="138"/>
      <c r="P443" s="138"/>
    </row>
    <row r="444">
      <c r="A444" s="138"/>
      <c r="B444" s="138"/>
      <c r="C444" s="138"/>
      <c r="D444" s="138"/>
      <c r="E444" s="138"/>
      <c r="F444" s="138"/>
      <c r="G444" s="138"/>
      <c r="H444" s="138"/>
      <c r="I444" s="138"/>
      <c r="J444" s="138"/>
      <c r="K444" s="138"/>
      <c r="L444" s="138"/>
      <c r="M444" s="138"/>
      <c r="N444" s="138"/>
      <c r="O444" s="138"/>
      <c r="P444" s="138"/>
    </row>
    <row r="445">
      <c r="A445" s="138"/>
      <c r="B445" s="138"/>
      <c r="C445" s="138"/>
      <c r="D445" s="138"/>
      <c r="E445" s="138"/>
      <c r="F445" s="138"/>
      <c r="G445" s="138"/>
      <c r="H445" s="138"/>
      <c r="I445" s="138"/>
      <c r="J445" s="138"/>
      <c r="K445" s="138"/>
      <c r="L445" s="138"/>
      <c r="M445" s="138"/>
      <c r="N445" s="138"/>
      <c r="O445" s="138"/>
      <c r="P445" s="138"/>
    </row>
    <row r="446">
      <c r="A446" s="138"/>
      <c r="B446" s="138"/>
      <c r="C446" s="138"/>
      <c r="D446" s="138"/>
      <c r="E446" s="138"/>
      <c r="F446" s="138"/>
      <c r="G446" s="138"/>
      <c r="H446" s="138"/>
      <c r="I446" s="138"/>
      <c r="J446" s="138"/>
      <c r="K446" s="138"/>
      <c r="L446" s="138"/>
      <c r="M446" s="138"/>
      <c r="N446" s="138"/>
      <c r="O446" s="138"/>
      <c r="P446" s="138"/>
    </row>
    <row r="447">
      <c r="A447" s="138"/>
      <c r="B447" s="138"/>
      <c r="C447" s="138"/>
      <c r="D447" s="138"/>
      <c r="E447" s="138"/>
      <c r="F447" s="138"/>
      <c r="G447" s="138"/>
      <c r="H447" s="138"/>
      <c r="I447" s="138"/>
      <c r="J447" s="138"/>
      <c r="K447" s="138"/>
      <c r="L447" s="138"/>
      <c r="M447" s="138"/>
      <c r="N447" s="138"/>
      <c r="O447" s="138"/>
      <c r="P447" s="138"/>
    </row>
    <row r="448">
      <c r="A448" s="138"/>
      <c r="B448" s="138"/>
      <c r="C448" s="138"/>
      <c r="D448" s="138"/>
      <c r="E448" s="138"/>
      <c r="F448" s="138"/>
      <c r="G448" s="138"/>
      <c r="H448" s="138"/>
      <c r="I448" s="138"/>
      <c r="J448" s="138"/>
      <c r="K448" s="138"/>
      <c r="L448" s="138"/>
      <c r="M448" s="138"/>
      <c r="N448" s="138"/>
      <c r="O448" s="138"/>
      <c r="P448" s="138"/>
    </row>
    <row r="449">
      <c r="A449" s="138"/>
      <c r="B449" s="138"/>
      <c r="C449" s="138"/>
      <c r="D449" s="138"/>
      <c r="E449" s="138"/>
      <c r="F449" s="138"/>
      <c r="G449" s="138"/>
      <c r="H449" s="138"/>
      <c r="I449" s="138"/>
      <c r="J449" s="138"/>
      <c r="K449" s="138"/>
      <c r="L449" s="138"/>
      <c r="M449" s="138"/>
      <c r="N449" s="138"/>
      <c r="O449" s="138"/>
      <c r="P449" s="138"/>
    </row>
    <row r="450">
      <c r="A450" s="138"/>
      <c r="B450" s="138"/>
      <c r="C450" s="138"/>
      <c r="D450" s="138"/>
      <c r="E450" s="138"/>
      <c r="F450" s="138"/>
      <c r="G450" s="138"/>
      <c r="H450" s="138"/>
      <c r="I450" s="138"/>
      <c r="J450" s="138"/>
      <c r="K450" s="138"/>
      <c r="L450" s="138"/>
      <c r="M450" s="138"/>
      <c r="N450" s="138"/>
      <c r="O450" s="138"/>
      <c r="P450" s="138"/>
    </row>
    <row r="451">
      <c r="A451" s="138"/>
      <c r="B451" s="138"/>
      <c r="C451" s="138"/>
      <c r="D451" s="138"/>
      <c r="E451" s="138"/>
      <c r="F451" s="138"/>
      <c r="G451" s="138"/>
      <c r="H451" s="138"/>
      <c r="I451" s="138"/>
      <c r="J451" s="138"/>
      <c r="K451" s="138"/>
      <c r="L451" s="138"/>
      <c r="M451" s="138"/>
      <c r="N451" s="138"/>
      <c r="O451" s="138"/>
      <c r="P451" s="138"/>
    </row>
    <row r="452">
      <c r="A452" s="138"/>
      <c r="B452" s="138"/>
      <c r="C452" s="138"/>
      <c r="D452" s="138"/>
      <c r="E452" s="138"/>
      <c r="F452" s="138"/>
      <c r="G452" s="138"/>
      <c r="H452" s="138"/>
      <c r="I452" s="138"/>
      <c r="J452" s="138"/>
      <c r="K452" s="138"/>
      <c r="L452" s="138"/>
      <c r="M452" s="138"/>
      <c r="N452" s="138"/>
      <c r="O452" s="138"/>
      <c r="P452" s="138"/>
    </row>
    <row r="453">
      <c r="A453" s="138"/>
      <c r="B453" s="138"/>
      <c r="C453" s="138"/>
      <c r="D453" s="138"/>
      <c r="E453" s="138"/>
      <c r="F453" s="138"/>
      <c r="G453" s="138"/>
      <c r="H453" s="138"/>
      <c r="I453" s="138"/>
      <c r="J453" s="138"/>
      <c r="K453" s="138"/>
      <c r="L453" s="138"/>
      <c r="M453" s="138"/>
      <c r="N453" s="138"/>
      <c r="O453" s="138"/>
      <c r="P453" s="138"/>
    </row>
    <row r="454">
      <c r="A454" s="138"/>
      <c r="B454" s="138"/>
      <c r="C454" s="138"/>
      <c r="D454" s="138"/>
      <c r="E454" s="138"/>
      <c r="F454" s="138"/>
      <c r="G454" s="138"/>
      <c r="H454" s="138"/>
      <c r="I454" s="138"/>
      <c r="J454" s="138"/>
      <c r="K454" s="138"/>
      <c r="L454" s="138"/>
      <c r="M454" s="138"/>
      <c r="N454" s="138"/>
      <c r="O454" s="138"/>
      <c r="P454" s="138"/>
    </row>
    <row r="455">
      <c r="A455" s="138"/>
      <c r="B455" s="138"/>
      <c r="C455" s="138"/>
      <c r="D455" s="138"/>
      <c r="E455" s="138"/>
      <c r="F455" s="138"/>
      <c r="G455" s="138"/>
      <c r="H455" s="138"/>
      <c r="I455" s="138"/>
      <c r="J455" s="138"/>
      <c r="K455" s="138"/>
      <c r="L455" s="138"/>
      <c r="M455" s="138"/>
      <c r="N455" s="138"/>
      <c r="O455" s="138"/>
      <c r="P455" s="138"/>
    </row>
    <row r="456">
      <c r="A456" s="138"/>
      <c r="B456" s="138"/>
      <c r="C456" s="138"/>
      <c r="D456" s="138"/>
      <c r="E456" s="138"/>
      <c r="F456" s="138"/>
      <c r="G456" s="138"/>
      <c r="H456" s="138"/>
      <c r="I456" s="138"/>
      <c r="J456" s="138"/>
      <c r="K456" s="138"/>
      <c r="L456" s="138"/>
      <c r="M456" s="138"/>
      <c r="N456" s="138"/>
      <c r="O456" s="138"/>
      <c r="P456" s="138"/>
    </row>
    <row r="457">
      <c r="A457" s="138"/>
      <c r="B457" s="138"/>
      <c r="C457" s="138"/>
      <c r="D457" s="138"/>
      <c r="E457" s="138"/>
      <c r="F457" s="138"/>
      <c r="G457" s="138"/>
      <c r="H457" s="138"/>
      <c r="I457" s="138"/>
      <c r="J457" s="138"/>
      <c r="K457" s="138"/>
      <c r="L457" s="138"/>
      <c r="M457" s="138"/>
      <c r="N457" s="138"/>
      <c r="O457" s="138"/>
      <c r="P457" s="138"/>
    </row>
    <row r="458">
      <c r="A458" s="138"/>
      <c r="B458" s="138"/>
      <c r="C458" s="138"/>
      <c r="D458" s="138"/>
      <c r="E458" s="138"/>
      <c r="F458" s="138"/>
      <c r="G458" s="138"/>
      <c r="H458" s="138"/>
      <c r="I458" s="138"/>
      <c r="J458" s="138"/>
      <c r="K458" s="138"/>
      <c r="L458" s="138"/>
      <c r="M458" s="138"/>
      <c r="N458" s="138"/>
      <c r="O458" s="138"/>
      <c r="P458" s="138"/>
    </row>
    <row r="459">
      <c r="A459" s="138"/>
      <c r="B459" s="138"/>
      <c r="C459" s="138"/>
      <c r="D459" s="138"/>
      <c r="E459" s="138"/>
      <c r="F459" s="138"/>
      <c r="G459" s="138"/>
      <c r="H459" s="138"/>
      <c r="I459" s="138"/>
      <c r="J459" s="138"/>
      <c r="K459" s="138"/>
      <c r="L459" s="138"/>
      <c r="M459" s="138"/>
      <c r="N459" s="138"/>
      <c r="O459" s="138"/>
      <c r="P459" s="138"/>
    </row>
    <row r="460">
      <c r="A460" s="138"/>
      <c r="B460" s="138"/>
      <c r="C460" s="138"/>
      <c r="D460" s="138"/>
      <c r="E460" s="138"/>
      <c r="F460" s="138"/>
      <c r="G460" s="138"/>
      <c r="H460" s="138"/>
      <c r="I460" s="138"/>
      <c r="J460" s="138"/>
      <c r="K460" s="138"/>
      <c r="L460" s="138"/>
      <c r="M460" s="138"/>
      <c r="N460" s="138"/>
      <c r="O460" s="138"/>
      <c r="P460" s="138"/>
    </row>
    <row r="461">
      <c r="A461" s="138"/>
      <c r="B461" s="138"/>
      <c r="C461" s="138"/>
      <c r="D461" s="138"/>
      <c r="E461" s="138"/>
      <c r="F461" s="138"/>
      <c r="G461" s="138"/>
      <c r="H461" s="138"/>
      <c r="I461" s="138"/>
      <c r="J461" s="138"/>
      <c r="K461" s="138"/>
      <c r="L461" s="138"/>
      <c r="M461" s="138"/>
      <c r="N461" s="138"/>
      <c r="O461" s="138"/>
      <c r="P461" s="138"/>
    </row>
    <row r="462">
      <c r="A462" s="138"/>
      <c r="B462" s="138"/>
      <c r="C462" s="138"/>
      <c r="D462" s="138"/>
      <c r="E462" s="138"/>
      <c r="F462" s="138"/>
      <c r="G462" s="138"/>
      <c r="H462" s="138"/>
      <c r="I462" s="138"/>
      <c r="J462" s="138"/>
      <c r="K462" s="138"/>
      <c r="L462" s="138"/>
      <c r="M462" s="138"/>
      <c r="N462" s="138"/>
      <c r="O462" s="138"/>
      <c r="P462" s="138"/>
    </row>
    <row r="463">
      <c r="A463" s="138"/>
      <c r="B463" s="138"/>
      <c r="C463" s="138"/>
      <c r="D463" s="138"/>
      <c r="E463" s="138"/>
      <c r="F463" s="138"/>
      <c r="G463" s="138"/>
      <c r="H463" s="138"/>
      <c r="I463" s="138"/>
      <c r="J463" s="138"/>
      <c r="K463" s="138"/>
      <c r="L463" s="138"/>
      <c r="M463" s="138"/>
      <c r="N463" s="138"/>
      <c r="O463" s="138"/>
      <c r="P463" s="138"/>
    </row>
    <row r="464">
      <c r="A464" s="138"/>
      <c r="B464" s="138"/>
      <c r="C464" s="138"/>
      <c r="D464" s="138"/>
      <c r="E464" s="138"/>
      <c r="F464" s="138"/>
      <c r="G464" s="138"/>
      <c r="H464" s="138"/>
      <c r="I464" s="138"/>
      <c r="J464" s="138"/>
      <c r="K464" s="138"/>
      <c r="L464" s="138"/>
      <c r="M464" s="138"/>
      <c r="N464" s="138"/>
      <c r="O464" s="138"/>
      <c r="P464" s="138"/>
    </row>
    <row r="465">
      <c r="A465" s="138"/>
      <c r="B465" s="138"/>
      <c r="C465" s="138"/>
      <c r="D465" s="138"/>
      <c r="E465" s="138"/>
      <c r="F465" s="138"/>
      <c r="G465" s="138"/>
      <c r="H465" s="138"/>
      <c r="I465" s="138"/>
      <c r="J465" s="138"/>
      <c r="K465" s="138"/>
      <c r="L465" s="138"/>
      <c r="M465" s="138"/>
      <c r="N465" s="138"/>
      <c r="O465" s="138"/>
      <c r="P465" s="138"/>
    </row>
    <row r="466">
      <c r="A466" s="138"/>
      <c r="B466" s="138"/>
      <c r="C466" s="138"/>
      <c r="D466" s="138"/>
      <c r="E466" s="138"/>
      <c r="F466" s="138"/>
      <c r="G466" s="138"/>
      <c r="H466" s="138"/>
      <c r="I466" s="138"/>
      <c r="J466" s="138"/>
      <c r="K466" s="138"/>
      <c r="L466" s="138"/>
      <c r="M466" s="138"/>
      <c r="N466" s="138"/>
      <c r="O466" s="138"/>
      <c r="P466" s="138"/>
    </row>
    <row r="467">
      <c r="A467" s="138"/>
      <c r="B467" s="138"/>
      <c r="C467" s="138"/>
      <c r="D467" s="138"/>
      <c r="E467" s="138"/>
      <c r="F467" s="138"/>
      <c r="G467" s="138"/>
      <c r="H467" s="138"/>
      <c r="I467" s="138"/>
      <c r="J467" s="138"/>
      <c r="K467" s="138"/>
      <c r="L467" s="138"/>
      <c r="M467" s="138"/>
      <c r="N467" s="138"/>
      <c r="O467" s="138"/>
      <c r="P467" s="138"/>
    </row>
    <row r="468">
      <c r="A468" s="138"/>
      <c r="B468" s="138"/>
      <c r="C468" s="138"/>
      <c r="D468" s="138"/>
      <c r="E468" s="138"/>
      <c r="F468" s="138"/>
      <c r="G468" s="138"/>
      <c r="H468" s="138"/>
      <c r="I468" s="138"/>
      <c r="J468" s="138"/>
      <c r="K468" s="138"/>
      <c r="L468" s="138"/>
      <c r="M468" s="138"/>
      <c r="N468" s="138"/>
      <c r="O468" s="138"/>
      <c r="P468" s="138"/>
    </row>
    <row r="469">
      <c r="A469" s="138"/>
      <c r="B469" s="138"/>
      <c r="C469" s="138"/>
      <c r="D469" s="138"/>
      <c r="E469" s="138"/>
      <c r="F469" s="138"/>
      <c r="G469" s="138"/>
      <c r="H469" s="138"/>
      <c r="I469" s="138"/>
      <c r="J469" s="138"/>
      <c r="K469" s="138"/>
      <c r="L469" s="138"/>
      <c r="M469" s="138"/>
      <c r="N469" s="138"/>
      <c r="O469" s="138"/>
      <c r="P469" s="138"/>
    </row>
    <row r="470">
      <c r="A470" s="138"/>
      <c r="B470" s="138"/>
      <c r="C470" s="138"/>
      <c r="D470" s="138"/>
      <c r="E470" s="138"/>
      <c r="F470" s="138"/>
      <c r="G470" s="138"/>
      <c r="H470" s="138"/>
      <c r="I470" s="138"/>
      <c r="J470" s="138"/>
      <c r="K470" s="138"/>
      <c r="L470" s="138"/>
      <c r="M470" s="138"/>
      <c r="N470" s="138"/>
      <c r="O470" s="138"/>
      <c r="P470" s="138"/>
    </row>
    <row r="471">
      <c r="A471" s="138"/>
      <c r="B471" s="138"/>
      <c r="C471" s="138"/>
      <c r="D471" s="138"/>
      <c r="E471" s="138"/>
      <c r="F471" s="138"/>
      <c r="G471" s="138"/>
      <c r="H471" s="138"/>
      <c r="I471" s="138"/>
      <c r="J471" s="138"/>
      <c r="K471" s="138"/>
      <c r="L471" s="138"/>
      <c r="M471" s="138"/>
      <c r="N471" s="138"/>
      <c r="O471" s="138"/>
      <c r="P471" s="138"/>
    </row>
    <row r="472">
      <c r="A472" s="138"/>
      <c r="B472" s="138"/>
      <c r="C472" s="138"/>
      <c r="D472" s="138"/>
      <c r="E472" s="138"/>
      <c r="F472" s="138"/>
      <c r="G472" s="138"/>
      <c r="H472" s="138"/>
      <c r="I472" s="138"/>
      <c r="J472" s="138"/>
      <c r="K472" s="138"/>
      <c r="L472" s="138"/>
      <c r="M472" s="138"/>
      <c r="N472" s="138"/>
      <c r="O472" s="138"/>
      <c r="P472" s="138"/>
    </row>
    <row r="473">
      <c r="A473" s="138"/>
      <c r="B473" s="138"/>
      <c r="C473" s="138"/>
      <c r="D473" s="138"/>
      <c r="E473" s="138"/>
      <c r="F473" s="138"/>
      <c r="G473" s="138"/>
      <c r="H473" s="138"/>
      <c r="I473" s="138"/>
      <c r="J473" s="138"/>
      <c r="K473" s="138"/>
      <c r="L473" s="138"/>
      <c r="M473" s="138"/>
      <c r="N473" s="138"/>
      <c r="O473" s="138"/>
      <c r="P473" s="138"/>
    </row>
    <row r="474">
      <c r="A474" s="138"/>
      <c r="B474" s="138"/>
      <c r="C474" s="138"/>
      <c r="D474" s="138"/>
      <c r="E474" s="138"/>
      <c r="F474" s="138"/>
      <c r="G474" s="138"/>
      <c r="H474" s="138"/>
      <c r="I474" s="138"/>
      <c r="J474" s="138"/>
      <c r="K474" s="138"/>
      <c r="L474" s="138"/>
      <c r="M474" s="138"/>
      <c r="N474" s="138"/>
      <c r="O474" s="138"/>
      <c r="P474" s="138"/>
    </row>
    <row r="475">
      <c r="A475" s="138"/>
      <c r="B475" s="138"/>
      <c r="C475" s="138"/>
      <c r="D475" s="138"/>
      <c r="E475" s="138"/>
      <c r="F475" s="138"/>
      <c r="G475" s="138"/>
      <c r="H475" s="138"/>
      <c r="I475" s="138"/>
      <c r="J475" s="138"/>
      <c r="K475" s="138"/>
      <c r="L475" s="138"/>
      <c r="M475" s="138"/>
      <c r="N475" s="138"/>
      <c r="O475" s="138"/>
      <c r="P475" s="138"/>
    </row>
    <row r="476">
      <c r="A476" s="138"/>
      <c r="B476" s="138"/>
      <c r="C476" s="138"/>
      <c r="D476" s="138"/>
      <c r="E476" s="138"/>
      <c r="F476" s="138"/>
      <c r="G476" s="138"/>
      <c r="H476" s="138"/>
      <c r="I476" s="138"/>
      <c r="J476" s="138"/>
      <c r="K476" s="138"/>
      <c r="L476" s="138"/>
      <c r="M476" s="138"/>
      <c r="N476" s="138"/>
      <c r="O476" s="138"/>
      <c r="P476" s="138"/>
    </row>
    <row r="477">
      <c r="A477" s="138"/>
      <c r="B477" s="138"/>
      <c r="C477" s="138"/>
      <c r="D477" s="138"/>
      <c r="E477" s="138"/>
      <c r="F477" s="138"/>
      <c r="G477" s="138"/>
      <c r="H477" s="138"/>
      <c r="I477" s="138"/>
      <c r="J477" s="138"/>
      <c r="K477" s="138"/>
      <c r="L477" s="138"/>
      <c r="M477" s="138"/>
      <c r="N477" s="138"/>
      <c r="O477" s="138"/>
      <c r="P477" s="138"/>
    </row>
    <row r="478">
      <c r="A478" s="138"/>
      <c r="B478" s="138"/>
      <c r="C478" s="138"/>
      <c r="D478" s="138"/>
      <c r="E478" s="138"/>
      <c r="F478" s="138"/>
      <c r="G478" s="138"/>
      <c r="H478" s="138"/>
      <c r="I478" s="138"/>
      <c r="J478" s="138"/>
      <c r="K478" s="138"/>
      <c r="L478" s="138"/>
      <c r="M478" s="138"/>
      <c r="N478" s="138"/>
      <c r="O478" s="138"/>
      <c r="P478" s="138"/>
    </row>
    <row r="479">
      <c r="A479" s="138"/>
      <c r="B479" s="138"/>
      <c r="C479" s="138"/>
      <c r="D479" s="138"/>
      <c r="E479" s="138"/>
      <c r="F479" s="138"/>
      <c r="G479" s="138"/>
      <c r="H479" s="138"/>
      <c r="I479" s="138"/>
      <c r="J479" s="138"/>
      <c r="K479" s="138"/>
      <c r="L479" s="138"/>
      <c r="M479" s="138"/>
      <c r="N479" s="138"/>
      <c r="O479" s="138"/>
      <c r="P479" s="138"/>
    </row>
    <row r="480">
      <c r="A480" s="138"/>
      <c r="B480" s="138"/>
      <c r="C480" s="138"/>
      <c r="D480" s="138"/>
      <c r="E480" s="138"/>
      <c r="F480" s="138"/>
      <c r="G480" s="138"/>
      <c r="H480" s="138"/>
      <c r="I480" s="138"/>
      <c r="J480" s="138"/>
      <c r="K480" s="138"/>
      <c r="L480" s="138"/>
      <c r="M480" s="138"/>
      <c r="N480" s="138"/>
      <c r="O480" s="138"/>
      <c r="P480" s="138"/>
    </row>
    <row r="481">
      <c r="A481" s="138"/>
      <c r="B481" s="138"/>
      <c r="C481" s="138"/>
      <c r="D481" s="138"/>
      <c r="E481" s="138"/>
      <c r="F481" s="138"/>
      <c r="G481" s="138"/>
      <c r="H481" s="138"/>
      <c r="I481" s="138"/>
      <c r="J481" s="138"/>
      <c r="K481" s="138"/>
      <c r="L481" s="138"/>
      <c r="M481" s="138"/>
      <c r="N481" s="138"/>
      <c r="O481" s="138"/>
      <c r="P481" s="138"/>
    </row>
    <row r="482">
      <c r="A482" s="138"/>
      <c r="B482" s="138"/>
      <c r="C482" s="138"/>
      <c r="D482" s="138"/>
      <c r="E482" s="138"/>
      <c r="F482" s="138"/>
      <c r="G482" s="138"/>
      <c r="H482" s="138"/>
      <c r="I482" s="138"/>
      <c r="J482" s="138"/>
      <c r="K482" s="138"/>
      <c r="L482" s="138"/>
      <c r="M482" s="138"/>
      <c r="N482" s="138"/>
      <c r="O482" s="138"/>
      <c r="P482" s="138"/>
    </row>
    <row r="483">
      <c r="A483" s="138"/>
      <c r="B483" s="138"/>
      <c r="C483" s="138"/>
      <c r="D483" s="138"/>
      <c r="E483" s="138"/>
      <c r="F483" s="138"/>
      <c r="G483" s="138"/>
      <c r="H483" s="138"/>
      <c r="I483" s="138"/>
      <c r="J483" s="138"/>
      <c r="K483" s="138"/>
      <c r="L483" s="138"/>
      <c r="M483" s="138"/>
      <c r="N483" s="138"/>
      <c r="O483" s="138"/>
      <c r="P483" s="138"/>
    </row>
    <row r="484">
      <c r="A484" s="138"/>
      <c r="B484" s="138"/>
      <c r="C484" s="138"/>
      <c r="D484" s="138"/>
      <c r="E484" s="138"/>
      <c r="F484" s="138"/>
      <c r="G484" s="138"/>
      <c r="H484" s="138"/>
      <c r="I484" s="138"/>
      <c r="J484" s="138"/>
      <c r="K484" s="138"/>
      <c r="L484" s="138"/>
      <c r="M484" s="138"/>
      <c r="N484" s="138"/>
      <c r="O484" s="138"/>
      <c r="P484" s="138"/>
    </row>
    <row r="485">
      <c r="A485" s="138"/>
      <c r="B485" s="138"/>
      <c r="C485" s="138"/>
      <c r="D485" s="138"/>
      <c r="E485" s="138"/>
      <c r="F485" s="138"/>
      <c r="G485" s="138"/>
      <c r="H485" s="138"/>
      <c r="I485" s="138"/>
      <c r="J485" s="138"/>
      <c r="K485" s="138"/>
      <c r="L485" s="138"/>
      <c r="M485" s="138"/>
      <c r="N485" s="138"/>
      <c r="O485" s="138"/>
      <c r="P485" s="138"/>
    </row>
    <row r="486">
      <c r="A486" s="138"/>
      <c r="B486" s="138"/>
      <c r="C486" s="138"/>
      <c r="D486" s="138"/>
      <c r="E486" s="138"/>
      <c r="F486" s="138"/>
      <c r="G486" s="138"/>
      <c r="H486" s="138"/>
      <c r="I486" s="138"/>
      <c r="J486" s="138"/>
      <c r="K486" s="138"/>
      <c r="L486" s="138"/>
      <c r="M486" s="138"/>
      <c r="N486" s="138"/>
      <c r="O486" s="138"/>
      <c r="P486" s="138"/>
    </row>
    <row r="487">
      <c r="A487" s="138"/>
      <c r="B487" s="138"/>
      <c r="C487" s="138"/>
      <c r="D487" s="138"/>
      <c r="E487" s="138"/>
      <c r="F487" s="138"/>
      <c r="G487" s="138"/>
      <c r="H487" s="138"/>
      <c r="I487" s="138"/>
      <c r="J487" s="138"/>
      <c r="K487" s="138"/>
      <c r="L487" s="138"/>
      <c r="M487" s="138"/>
      <c r="N487" s="138"/>
      <c r="O487" s="138"/>
      <c r="P487" s="138"/>
    </row>
    <row r="488">
      <c r="A488" s="138"/>
      <c r="B488" s="138"/>
      <c r="C488" s="138"/>
      <c r="D488" s="138"/>
      <c r="E488" s="138"/>
      <c r="F488" s="138"/>
      <c r="G488" s="138"/>
      <c r="H488" s="138"/>
      <c r="I488" s="138"/>
      <c r="J488" s="138"/>
      <c r="K488" s="138"/>
      <c r="L488" s="138"/>
      <c r="M488" s="138"/>
      <c r="N488" s="138"/>
      <c r="O488" s="138"/>
      <c r="P488" s="138"/>
    </row>
    <row r="489">
      <c r="A489" s="138"/>
      <c r="B489" s="138"/>
      <c r="C489" s="138"/>
      <c r="D489" s="138"/>
      <c r="E489" s="138"/>
      <c r="F489" s="138"/>
      <c r="G489" s="138"/>
      <c r="H489" s="138"/>
      <c r="I489" s="138"/>
      <c r="J489" s="138"/>
      <c r="K489" s="138"/>
      <c r="L489" s="138"/>
      <c r="M489" s="138"/>
      <c r="N489" s="138"/>
      <c r="O489" s="138"/>
      <c r="P489" s="138"/>
    </row>
    <row r="490">
      <c r="A490" s="138"/>
      <c r="B490" s="138"/>
      <c r="C490" s="138"/>
      <c r="D490" s="138"/>
      <c r="E490" s="138"/>
      <c r="F490" s="138"/>
      <c r="G490" s="138"/>
      <c r="H490" s="138"/>
      <c r="I490" s="138"/>
      <c r="J490" s="138"/>
      <c r="K490" s="138"/>
      <c r="L490" s="138"/>
      <c r="M490" s="138"/>
      <c r="N490" s="138"/>
      <c r="O490" s="138"/>
      <c r="P490" s="138"/>
    </row>
    <row r="491">
      <c r="A491" s="138"/>
      <c r="B491" s="138"/>
      <c r="C491" s="138"/>
      <c r="D491" s="138"/>
      <c r="E491" s="138"/>
      <c r="F491" s="138"/>
      <c r="G491" s="138"/>
      <c r="H491" s="138"/>
      <c r="I491" s="138"/>
      <c r="J491" s="138"/>
      <c r="K491" s="138"/>
      <c r="L491" s="138"/>
      <c r="M491" s="138"/>
      <c r="N491" s="138"/>
      <c r="O491" s="138"/>
      <c r="P491" s="138"/>
    </row>
    <row r="492">
      <c r="A492" s="138"/>
      <c r="B492" s="138"/>
      <c r="C492" s="138"/>
      <c r="D492" s="138"/>
      <c r="E492" s="138"/>
      <c r="F492" s="138"/>
      <c r="G492" s="138"/>
      <c r="H492" s="138"/>
      <c r="I492" s="138"/>
      <c r="J492" s="138"/>
      <c r="K492" s="138"/>
      <c r="L492" s="138"/>
      <c r="M492" s="138"/>
      <c r="N492" s="138"/>
      <c r="O492" s="138"/>
      <c r="P492" s="138"/>
    </row>
    <row r="493">
      <c r="A493" s="138"/>
      <c r="B493" s="138"/>
      <c r="C493" s="138"/>
      <c r="D493" s="138"/>
      <c r="E493" s="138"/>
      <c r="F493" s="138"/>
      <c r="G493" s="138"/>
      <c r="H493" s="138"/>
      <c r="I493" s="138"/>
      <c r="J493" s="138"/>
      <c r="K493" s="138"/>
      <c r="L493" s="138"/>
      <c r="M493" s="138"/>
      <c r="N493" s="138"/>
      <c r="O493" s="138"/>
      <c r="P493" s="138"/>
    </row>
    <row r="494">
      <c r="A494" s="138"/>
      <c r="B494" s="138"/>
      <c r="C494" s="138"/>
      <c r="D494" s="138"/>
      <c r="E494" s="138"/>
      <c r="F494" s="138"/>
      <c r="G494" s="138"/>
      <c r="H494" s="138"/>
      <c r="I494" s="138"/>
      <c r="J494" s="138"/>
      <c r="K494" s="138"/>
      <c r="L494" s="138"/>
      <c r="M494" s="138"/>
      <c r="N494" s="138"/>
      <c r="O494" s="138"/>
      <c r="P494" s="138"/>
    </row>
    <row r="495">
      <c r="A495" s="138"/>
      <c r="B495" s="138"/>
      <c r="C495" s="138"/>
      <c r="D495" s="138"/>
      <c r="E495" s="138"/>
      <c r="F495" s="138"/>
      <c r="G495" s="138"/>
      <c r="H495" s="138"/>
      <c r="I495" s="138"/>
      <c r="J495" s="138"/>
      <c r="K495" s="138"/>
      <c r="L495" s="138"/>
      <c r="M495" s="138"/>
      <c r="N495" s="138"/>
      <c r="O495" s="138"/>
      <c r="P495" s="138"/>
    </row>
    <row r="496">
      <c r="A496" s="138"/>
      <c r="B496" s="138"/>
      <c r="C496" s="138"/>
      <c r="D496" s="138"/>
      <c r="E496" s="138"/>
      <c r="F496" s="138"/>
      <c r="G496" s="138"/>
      <c r="H496" s="138"/>
      <c r="I496" s="138"/>
      <c r="J496" s="138"/>
      <c r="K496" s="138"/>
      <c r="L496" s="138"/>
      <c r="M496" s="138"/>
      <c r="N496" s="138"/>
      <c r="O496" s="138"/>
      <c r="P496" s="138"/>
    </row>
    <row r="497">
      <c r="A497" s="138"/>
      <c r="B497" s="138"/>
      <c r="C497" s="138"/>
      <c r="D497" s="138"/>
      <c r="E497" s="138"/>
      <c r="F497" s="138"/>
      <c r="G497" s="138"/>
      <c r="H497" s="138"/>
      <c r="I497" s="138"/>
      <c r="J497" s="138"/>
      <c r="K497" s="138"/>
      <c r="L497" s="138"/>
      <c r="M497" s="138"/>
      <c r="N497" s="138"/>
      <c r="O497" s="138"/>
      <c r="P497" s="138"/>
    </row>
    <row r="498">
      <c r="A498" s="138"/>
      <c r="B498" s="138"/>
      <c r="C498" s="138"/>
      <c r="D498" s="138"/>
      <c r="E498" s="138"/>
      <c r="F498" s="138"/>
      <c r="G498" s="138"/>
      <c r="H498" s="138"/>
      <c r="I498" s="138"/>
      <c r="J498" s="138"/>
      <c r="K498" s="138"/>
      <c r="L498" s="138"/>
      <c r="M498" s="138"/>
      <c r="N498" s="138"/>
      <c r="O498" s="138"/>
      <c r="P498" s="138"/>
    </row>
    <row r="499">
      <c r="A499" s="138"/>
      <c r="B499" s="138"/>
      <c r="C499" s="138"/>
      <c r="D499" s="138"/>
      <c r="E499" s="138"/>
      <c r="F499" s="138"/>
      <c r="G499" s="138"/>
      <c r="H499" s="138"/>
      <c r="I499" s="138"/>
      <c r="J499" s="138"/>
      <c r="K499" s="138"/>
      <c r="L499" s="138"/>
      <c r="M499" s="138"/>
      <c r="N499" s="138"/>
      <c r="O499" s="138"/>
      <c r="P499" s="138"/>
    </row>
    <row r="500">
      <c r="A500" s="138"/>
      <c r="B500" s="138"/>
      <c r="C500" s="138"/>
      <c r="D500" s="138"/>
      <c r="E500" s="138"/>
      <c r="F500" s="138"/>
      <c r="G500" s="138"/>
      <c r="H500" s="138"/>
      <c r="I500" s="138"/>
      <c r="J500" s="138"/>
      <c r="K500" s="138"/>
      <c r="L500" s="138"/>
      <c r="M500" s="138"/>
      <c r="N500" s="138"/>
      <c r="O500" s="138"/>
      <c r="P500" s="138"/>
    </row>
    <row r="501">
      <c r="A501" s="138"/>
      <c r="B501" s="138"/>
      <c r="C501" s="138"/>
      <c r="D501" s="138"/>
      <c r="E501" s="138"/>
      <c r="F501" s="138"/>
      <c r="G501" s="138"/>
      <c r="H501" s="138"/>
      <c r="I501" s="138"/>
      <c r="J501" s="138"/>
      <c r="K501" s="138"/>
      <c r="L501" s="138"/>
      <c r="M501" s="138"/>
      <c r="N501" s="138"/>
      <c r="O501" s="138"/>
      <c r="P501" s="138"/>
    </row>
    <row r="502">
      <c r="A502" s="138"/>
      <c r="B502" s="138"/>
      <c r="C502" s="138"/>
      <c r="D502" s="138"/>
      <c r="E502" s="138"/>
      <c r="F502" s="138"/>
      <c r="G502" s="138"/>
      <c r="H502" s="138"/>
      <c r="I502" s="138"/>
      <c r="J502" s="138"/>
      <c r="K502" s="138"/>
      <c r="L502" s="138"/>
      <c r="M502" s="138"/>
      <c r="N502" s="138"/>
      <c r="O502" s="138"/>
      <c r="P502" s="138"/>
    </row>
    <row r="503">
      <c r="A503" s="138"/>
      <c r="B503" s="138"/>
      <c r="C503" s="138"/>
      <c r="D503" s="138"/>
      <c r="E503" s="138"/>
      <c r="F503" s="138"/>
      <c r="G503" s="138"/>
      <c r="H503" s="138"/>
      <c r="I503" s="138"/>
      <c r="J503" s="138"/>
      <c r="K503" s="138"/>
      <c r="L503" s="138"/>
      <c r="M503" s="138"/>
      <c r="N503" s="138"/>
      <c r="O503" s="138"/>
      <c r="P503" s="138"/>
    </row>
    <row r="504">
      <c r="A504" s="138"/>
      <c r="B504" s="138"/>
      <c r="C504" s="138"/>
      <c r="D504" s="138"/>
      <c r="E504" s="138"/>
      <c r="F504" s="138"/>
      <c r="G504" s="138"/>
      <c r="H504" s="138"/>
      <c r="I504" s="138"/>
      <c r="J504" s="138"/>
      <c r="K504" s="138"/>
      <c r="L504" s="138"/>
      <c r="M504" s="138"/>
      <c r="N504" s="138"/>
      <c r="O504" s="138"/>
      <c r="P504" s="138"/>
    </row>
    <row r="505">
      <c r="A505" s="138"/>
      <c r="B505" s="138"/>
      <c r="C505" s="138"/>
      <c r="D505" s="138"/>
      <c r="E505" s="138"/>
      <c r="F505" s="138"/>
      <c r="G505" s="138"/>
      <c r="H505" s="138"/>
      <c r="I505" s="138"/>
      <c r="J505" s="138"/>
      <c r="K505" s="138"/>
      <c r="L505" s="138"/>
      <c r="M505" s="138"/>
      <c r="N505" s="138"/>
      <c r="O505" s="138"/>
      <c r="P505" s="138"/>
    </row>
    <row r="506">
      <c r="A506" s="138"/>
      <c r="B506" s="138"/>
      <c r="C506" s="138"/>
      <c r="D506" s="138"/>
      <c r="E506" s="138"/>
      <c r="F506" s="138"/>
      <c r="G506" s="138"/>
      <c r="H506" s="138"/>
      <c r="I506" s="138"/>
      <c r="J506" s="138"/>
      <c r="K506" s="138"/>
      <c r="L506" s="138"/>
      <c r="M506" s="138"/>
      <c r="N506" s="138"/>
      <c r="O506" s="138"/>
      <c r="P506" s="138"/>
    </row>
    <row r="507">
      <c r="A507" s="138"/>
      <c r="B507" s="138"/>
      <c r="C507" s="138"/>
      <c r="D507" s="138"/>
      <c r="E507" s="138"/>
      <c r="F507" s="138"/>
      <c r="G507" s="138"/>
      <c r="H507" s="138"/>
      <c r="I507" s="138"/>
      <c r="J507" s="138"/>
      <c r="K507" s="138"/>
      <c r="L507" s="138"/>
      <c r="M507" s="138"/>
      <c r="N507" s="138"/>
      <c r="O507" s="138"/>
      <c r="P507" s="138"/>
    </row>
    <row r="508">
      <c r="A508" s="138"/>
      <c r="B508" s="138"/>
      <c r="C508" s="138"/>
      <c r="D508" s="138"/>
      <c r="E508" s="138"/>
      <c r="F508" s="138"/>
      <c r="G508" s="138"/>
      <c r="H508" s="138"/>
      <c r="I508" s="138"/>
      <c r="J508" s="138"/>
      <c r="K508" s="138"/>
      <c r="L508" s="138"/>
      <c r="M508" s="138"/>
      <c r="N508" s="138"/>
      <c r="O508" s="138"/>
      <c r="P508" s="138"/>
    </row>
    <row r="509">
      <c r="A509" s="138"/>
      <c r="B509" s="138"/>
      <c r="C509" s="138"/>
      <c r="D509" s="138"/>
      <c r="E509" s="138"/>
      <c r="F509" s="138"/>
      <c r="G509" s="138"/>
      <c r="H509" s="138"/>
      <c r="I509" s="138"/>
      <c r="J509" s="138"/>
      <c r="K509" s="138"/>
      <c r="L509" s="138"/>
      <c r="M509" s="138"/>
      <c r="N509" s="138"/>
      <c r="O509" s="138"/>
      <c r="P509" s="138"/>
    </row>
    <row r="510">
      <c r="A510" s="138"/>
      <c r="B510" s="138"/>
      <c r="C510" s="138"/>
      <c r="D510" s="138"/>
      <c r="E510" s="138"/>
      <c r="F510" s="138"/>
      <c r="G510" s="138"/>
      <c r="H510" s="138"/>
      <c r="I510" s="138"/>
      <c r="J510" s="138"/>
      <c r="K510" s="138"/>
      <c r="L510" s="138"/>
      <c r="M510" s="138"/>
      <c r="N510" s="138"/>
      <c r="O510" s="138"/>
      <c r="P510" s="138"/>
    </row>
    <row r="511">
      <c r="A511" s="138"/>
      <c r="B511" s="138"/>
      <c r="C511" s="138"/>
      <c r="D511" s="138"/>
      <c r="E511" s="138"/>
      <c r="F511" s="138"/>
      <c r="G511" s="138"/>
      <c r="H511" s="138"/>
      <c r="I511" s="138"/>
      <c r="J511" s="138"/>
      <c r="K511" s="138"/>
      <c r="L511" s="138"/>
      <c r="M511" s="138"/>
      <c r="N511" s="138"/>
      <c r="O511" s="138"/>
      <c r="P511" s="138"/>
    </row>
    <row r="512">
      <c r="A512" s="138"/>
      <c r="B512" s="138"/>
      <c r="C512" s="138"/>
      <c r="D512" s="138"/>
      <c r="E512" s="138"/>
      <c r="F512" s="138"/>
      <c r="G512" s="138"/>
      <c r="H512" s="138"/>
      <c r="I512" s="138"/>
      <c r="J512" s="138"/>
      <c r="K512" s="138"/>
      <c r="L512" s="138"/>
      <c r="M512" s="138"/>
      <c r="N512" s="138"/>
      <c r="O512" s="138"/>
      <c r="P512" s="138"/>
    </row>
    <row r="513">
      <c r="A513" s="138"/>
      <c r="B513" s="138"/>
      <c r="C513" s="138"/>
      <c r="D513" s="138"/>
      <c r="E513" s="138"/>
      <c r="F513" s="138"/>
      <c r="G513" s="138"/>
      <c r="H513" s="138"/>
      <c r="I513" s="138"/>
      <c r="J513" s="138"/>
      <c r="K513" s="138"/>
      <c r="L513" s="138"/>
      <c r="M513" s="138"/>
      <c r="N513" s="138"/>
      <c r="O513" s="138"/>
      <c r="P513" s="138"/>
    </row>
    <row r="514">
      <c r="A514" s="138"/>
      <c r="B514" s="138"/>
      <c r="C514" s="138"/>
      <c r="D514" s="138"/>
      <c r="E514" s="138"/>
      <c r="F514" s="138"/>
      <c r="G514" s="138"/>
      <c r="H514" s="138"/>
      <c r="I514" s="138"/>
      <c r="J514" s="138"/>
      <c r="K514" s="138"/>
      <c r="L514" s="138"/>
      <c r="M514" s="138"/>
      <c r="N514" s="138"/>
      <c r="O514" s="138"/>
      <c r="P514" s="138"/>
    </row>
    <row r="515">
      <c r="A515" s="138"/>
      <c r="B515" s="138"/>
      <c r="C515" s="138"/>
      <c r="D515" s="138"/>
      <c r="E515" s="138"/>
      <c r="F515" s="138"/>
      <c r="G515" s="138"/>
      <c r="H515" s="138"/>
      <c r="I515" s="138"/>
      <c r="J515" s="138"/>
      <c r="K515" s="138"/>
      <c r="L515" s="138"/>
      <c r="M515" s="138"/>
      <c r="N515" s="138"/>
      <c r="O515" s="138"/>
      <c r="P515" s="138"/>
    </row>
    <row r="516">
      <c r="A516" s="138"/>
      <c r="B516" s="138"/>
      <c r="C516" s="138"/>
      <c r="D516" s="138"/>
      <c r="E516" s="138"/>
      <c r="F516" s="138"/>
      <c r="G516" s="138"/>
      <c r="H516" s="138"/>
      <c r="I516" s="138"/>
      <c r="J516" s="138"/>
      <c r="K516" s="138"/>
      <c r="L516" s="138"/>
      <c r="M516" s="138"/>
      <c r="N516" s="138"/>
      <c r="O516" s="138"/>
      <c r="P516" s="138"/>
    </row>
    <row r="517">
      <c r="A517" s="138"/>
      <c r="B517" s="138"/>
      <c r="C517" s="138"/>
      <c r="D517" s="138"/>
      <c r="E517" s="138"/>
      <c r="F517" s="138"/>
      <c r="G517" s="138"/>
      <c r="H517" s="138"/>
      <c r="I517" s="138"/>
      <c r="J517" s="138"/>
      <c r="K517" s="138"/>
      <c r="L517" s="138"/>
      <c r="M517" s="138"/>
      <c r="N517" s="138"/>
      <c r="O517" s="138"/>
      <c r="P517" s="138"/>
    </row>
    <row r="518">
      <c r="A518" s="138"/>
      <c r="B518" s="138"/>
      <c r="C518" s="138"/>
      <c r="D518" s="138"/>
      <c r="E518" s="138"/>
      <c r="F518" s="138"/>
      <c r="G518" s="138"/>
      <c r="H518" s="138"/>
      <c r="I518" s="138"/>
      <c r="J518" s="138"/>
      <c r="K518" s="138"/>
      <c r="L518" s="138"/>
      <c r="M518" s="138"/>
      <c r="N518" s="138"/>
      <c r="O518" s="138"/>
      <c r="P518" s="138"/>
    </row>
    <row r="519">
      <c r="A519" s="138"/>
      <c r="B519" s="138"/>
      <c r="C519" s="138"/>
      <c r="D519" s="138"/>
      <c r="E519" s="138"/>
      <c r="F519" s="138"/>
      <c r="G519" s="138"/>
      <c r="H519" s="138"/>
      <c r="I519" s="138"/>
      <c r="J519" s="138"/>
      <c r="K519" s="138"/>
      <c r="L519" s="138"/>
      <c r="M519" s="138"/>
      <c r="N519" s="138"/>
      <c r="O519" s="138"/>
      <c r="P519" s="138"/>
    </row>
    <row r="520">
      <c r="A520" s="138"/>
      <c r="B520" s="138"/>
      <c r="C520" s="138"/>
      <c r="D520" s="138"/>
      <c r="E520" s="138"/>
      <c r="F520" s="138"/>
      <c r="G520" s="138"/>
      <c r="H520" s="138"/>
      <c r="I520" s="138"/>
      <c r="J520" s="138"/>
      <c r="K520" s="138"/>
      <c r="L520" s="138"/>
      <c r="M520" s="138"/>
      <c r="N520" s="138"/>
      <c r="O520" s="138"/>
      <c r="P520" s="138"/>
    </row>
    <row r="521">
      <c r="A521" s="138"/>
      <c r="B521" s="138"/>
      <c r="C521" s="138"/>
      <c r="D521" s="138"/>
      <c r="E521" s="138"/>
      <c r="F521" s="138"/>
      <c r="G521" s="138"/>
      <c r="H521" s="138"/>
      <c r="I521" s="138"/>
      <c r="J521" s="138"/>
      <c r="K521" s="138"/>
      <c r="L521" s="138"/>
      <c r="M521" s="138"/>
      <c r="N521" s="138"/>
      <c r="O521" s="138"/>
      <c r="P521" s="138"/>
    </row>
    <row r="522">
      <c r="A522" s="138"/>
      <c r="B522" s="138"/>
      <c r="C522" s="138"/>
      <c r="D522" s="138"/>
      <c r="E522" s="138"/>
      <c r="F522" s="138"/>
      <c r="G522" s="138"/>
      <c r="H522" s="138"/>
      <c r="I522" s="138"/>
      <c r="J522" s="138"/>
      <c r="K522" s="138"/>
      <c r="L522" s="138"/>
      <c r="M522" s="138"/>
      <c r="N522" s="138"/>
      <c r="O522" s="138"/>
      <c r="P522" s="138"/>
    </row>
    <row r="523">
      <c r="A523" s="138"/>
      <c r="B523" s="138"/>
      <c r="C523" s="138"/>
      <c r="D523" s="138"/>
      <c r="E523" s="138"/>
      <c r="F523" s="138"/>
      <c r="G523" s="138"/>
      <c r="H523" s="138"/>
      <c r="I523" s="138"/>
      <c r="J523" s="138"/>
      <c r="K523" s="138"/>
      <c r="L523" s="138"/>
      <c r="M523" s="138"/>
      <c r="N523" s="138"/>
      <c r="O523" s="138"/>
      <c r="P523" s="138"/>
    </row>
    <row r="524">
      <c r="A524" s="138"/>
      <c r="B524" s="138"/>
      <c r="C524" s="138"/>
      <c r="D524" s="138"/>
      <c r="E524" s="138"/>
      <c r="F524" s="138"/>
      <c r="G524" s="138"/>
      <c r="H524" s="138"/>
      <c r="I524" s="138"/>
      <c r="J524" s="138"/>
      <c r="K524" s="138"/>
      <c r="L524" s="138"/>
      <c r="M524" s="138"/>
      <c r="N524" s="138"/>
      <c r="O524" s="138"/>
      <c r="P524" s="138"/>
    </row>
    <row r="525">
      <c r="A525" s="138"/>
      <c r="B525" s="138"/>
      <c r="C525" s="138"/>
      <c r="D525" s="138"/>
      <c r="E525" s="138"/>
      <c r="F525" s="138"/>
      <c r="G525" s="138"/>
      <c r="H525" s="138"/>
      <c r="I525" s="138"/>
      <c r="J525" s="138"/>
      <c r="K525" s="138"/>
      <c r="L525" s="138"/>
      <c r="M525" s="138"/>
      <c r="N525" s="138"/>
      <c r="O525" s="138"/>
      <c r="P525" s="138"/>
    </row>
    <row r="526">
      <c r="A526" s="138"/>
      <c r="B526" s="138"/>
      <c r="C526" s="138"/>
      <c r="D526" s="138"/>
      <c r="E526" s="138"/>
      <c r="F526" s="138"/>
      <c r="G526" s="138"/>
      <c r="H526" s="138"/>
      <c r="I526" s="138"/>
      <c r="J526" s="138"/>
      <c r="K526" s="138"/>
      <c r="L526" s="138"/>
      <c r="M526" s="138"/>
      <c r="N526" s="138"/>
      <c r="O526" s="138"/>
      <c r="P526" s="138"/>
    </row>
    <row r="527">
      <c r="A527" s="138"/>
      <c r="B527" s="138"/>
      <c r="C527" s="138"/>
      <c r="D527" s="138"/>
      <c r="E527" s="138"/>
      <c r="F527" s="138"/>
      <c r="G527" s="138"/>
      <c r="H527" s="138"/>
      <c r="I527" s="138"/>
      <c r="J527" s="138"/>
      <c r="K527" s="138"/>
      <c r="L527" s="138"/>
      <c r="M527" s="138"/>
      <c r="N527" s="138"/>
      <c r="O527" s="138"/>
      <c r="P527" s="138"/>
    </row>
    <row r="528">
      <c r="A528" s="138"/>
      <c r="B528" s="138"/>
      <c r="C528" s="138"/>
      <c r="D528" s="138"/>
      <c r="E528" s="138"/>
      <c r="F528" s="138"/>
      <c r="G528" s="138"/>
      <c r="H528" s="138"/>
      <c r="I528" s="138"/>
      <c r="J528" s="138"/>
      <c r="K528" s="138"/>
      <c r="L528" s="138"/>
      <c r="M528" s="138"/>
      <c r="N528" s="138"/>
      <c r="O528" s="138"/>
      <c r="P528" s="138"/>
    </row>
    <row r="529">
      <c r="A529" s="138"/>
      <c r="B529" s="138"/>
      <c r="C529" s="138"/>
      <c r="D529" s="138"/>
      <c r="E529" s="138"/>
      <c r="F529" s="138"/>
      <c r="G529" s="138"/>
      <c r="H529" s="138"/>
      <c r="I529" s="138"/>
      <c r="J529" s="138"/>
      <c r="K529" s="138"/>
      <c r="L529" s="138"/>
      <c r="M529" s="138"/>
      <c r="N529" s="138"/>
      <c r="O529" s="138"/>
      <c r="P529" s="138"/>
    </row>
    <row r="530">
      <c r="A530" s="138"/>
      <c r="B530" s="138"/>
      <c r="C530" s="138"/>
      <c r="D530" s="138"/>
      <c r="E530" s="138"/>
      <c r="F530" s="138"/>
      <c r="G530" s="138"/>
      <c r="H530" s="138"/>
      <c r="I530" s="138"/>
      <c r="J530" s="138"/>
      <c r="K530" s="138"/>
      <c r="L530" s="138"/>
      <c r="M530" s="138"/>
      <c r="N530" s="138"/>
      <c r="O530" s="138"/>
      <c r="P530" s="138"/>
    </row>
    <row r="531">
      <c r="A531" s="138"/>
      <c r="B531" s="138"/>
      <c r="C531" s="138"/>
      <c r="D531" s="138"/>
      <c r="E531" s="138"/>
      <c r="F531" s="138"/>
      <c r="G531" s="138"/>
      <c r="H531" s="138"/>
      <c r="I531" s="138"/>
      <c r="J531" s="138"/>
      <c r="K531" s="138"/>
      <c r="L531" s="138"/>
      <c r="M531" s="138"/>
      <c r="N531" s="138"/>
      <c r="O531" s="138"/>
      <c r="P531" s="138"/>
    </row>
    <row r="532">
      <c r="A532" s="138"/>
      <c r="B532" s="138"/>
      <c r="C532" s="138"/>
      <c r="D532" s="138"/>
      <c r="E532" s="138"/>
      <c r="F532" s="138"/>
      <c r="G532" s="138"/>
      <c r="H532" s="138"/>
      <c r="I532" s="138"/>
      <c r="J532" s="138"/>
      <c r="K532" s="138"/>
      <c r="L532" s="138"/>
      <c r="M532" s="138"/>
      <c r="N532" s="138"/>
      <c r="O532" s="138"/>
      <c r="P532" s="138"/>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4.0"/>
    <col customWidth="1" min="3" max="3" width="71.0"/>
    <col customWidth="1" min="10" max="10" width="42.5"/>
  </cols>
  <sheetData>
    <row r="1">
      <c r="A1" s="113" t="s">
        <v>0</v>
      </c>
      <c r="B1" s="247" t="s">
        <v>1</v>
      </c>
      <c r="C1" s="2" t="s">
        <v>2</v>
      </c>
      <c r="D1" s="113" t="s">
        <v>3</v>
      </c>
      <c r="E1" s="113" t="s">
        <v>4</v>
      </c>
      <c r="F1" s="113" t="s">
        <v>5</v>
      </c>
      <c r="G1" s="248" t="s">
        <v>6</v>
      </c>
      <c r="H1" s="113" t="s">
        <v>7</v>
      </c>
      <c r="I1" s="113" t="s">
        <v>8</v>
      </c>
      <c r="J1" s="113" t="s">
        <v>9</v>
      </c>
      <c r="K1" s="113" t="s">
        <v>10</v>
      </c>
      <c r="L1" s="113" t="s">
        <v>11</v>
      </c>
      <c r="M1" s="113" t="s">
        <v>12</v>
      </c>
      <c r="N1" s="113" t="s">
        <v>13</v>
      </c>
      <c r="O1" s="248" t="s">
        <v>5509</v>
      </c>
      <c r="P1" s="113"/>
      <c r="Q1" s="113"/>
    </row>
    <row r="2" hidden="1">
      <c r="A2" s="249">
        <v>8927.0</v>
      </c>
      <c r="B2" s="247" t="s">
        <v>5510</v>
      </c>
      <c r="C2" s="113" t="str">
        <f>IFERROR(__xludf.DUMMYFUNCTION("GOOGLETRANSLATE(B2)"),"FUSION ENERGY DEVELOPMENT PROMOTION ACT")</f>
        <v>FUSION ENERGY DEVELOPMENT PROMOTION ACT</v>
      </c>
      <c r="D2" s="113" t="s">
        <v>2905</v>
      </c>
      <c r="E2" s="113" t="s">
        <v>2906</v>
      </c>
      <c r="F2" s="113" t="s">
        <v>41</v>
      </c>
      <c r="G2" s="249"/>
      <c r="H2" s="249">
        <v>2006.0</v>
      </c>
      <c r="I2" s="248" t="s">
        <v>24</v>
      </c>
      <c r="J2" s="113" t="s">
        <v>5511</v>
      </c>
      <c r="K2" s="250" t="s">
        <v>5512</v>
      </c>
      <c r="L2" s="113" t="s">
        <v>5513</v>
      </c>
      <c r="M2" s="113"/>
      <c r="N2" s="113" t="s">
        <v>23</v>
      </c>
      <c r="O2" s="113"/>
      <c r="P2" s="113"/>
      <c r="Q2" s="113"/>
    </row>
    <row r="3" hidden="1">
      <c r="A3" s="249">
        <v>8927.0</v>
      </c>
      <c r="B3" s="247" t="s">
        <v>5514</v>
      </c>
      <c r="C3" s="113" t="str">
        <f>IFERROR(__xludf.DUMMYFUNCTION("GOOGLETRANSLATE(B3)"),"NUCLEAR ENERGY PROMOTION ACT")</f>
        <v>NUCLEAR ENERGY PROMOTION ACT</v>
      </c>
      <c r="D3" s="113" t="s">
        <v>2905</v>
      </c>
      <c r="E3" s="113" t="s">
        <v>2906</v>
      </c>
      <c r="F3" s="113" t="s">
        <v>45</v>
      </c>
      <c r="G3" s="249"/>
      <c r="H3" s="249">
        <v>2011.0</v>
      </c>
      <c r="I3" s="248" t="s">
        <v>24</v>
      </c>
      <c r="J3" s="113" t="s">
        <v>5515</v>
      </c>
      <c r="K3" s="250" t="s">
        <v>5516</v>
      </c>
      <c r="L3" s="113" t="s">
        <v>5513</v>
      </c>
      <c r="M3" s="113"/>
      <c r="N3" s="113" t="s">
        <v>23</v>
      </c>
      <c r="O3" s="113"/>
      <c r="P3" s="113"/>
      <c r="Q3" s="113"/>
    </row>
    <row r="4" hidden="1">
      <c r="A4" s="249">
        <v>8945.0</v>
      </c>
      <c r="B4" s="247" t="s">
        <v>5517</v>
      </c>
      <c r="C4" s="113" t="str">
        <f>IFERROR(__xludf.DUMMYFUNCTION("GOOGLETRANSLATE(B4)"),"STORM AND FLOOD INSURANCE ACT")</f>
        <v>STORM AND FLOOD INSURANCE ACT</v>
      </c>
      <c r="D4" s="113" t="s">
        <v>2905</v>
      </c>
      <c r="E4" s="113" t="s">
        <v>2906</v>
      </c>
      <c r="F4" s="113" t="s">
        <v>45</v>
      </c>
      <c r="G4" s="249"/>
      <c r="H4" s="249">
        <v>2006.0</v>
      </c>
      <c r="I4" s="248" t="s">
        <v>24</v>
      </c>
      <c r="J4" s="113" t="s">
        <v>5518</v>
      </c>
      <c r="K4" s="250" t="s">
        <v>5519</v>
      </c>
      <c r="L4" s="113" t="s">
        <v>5513</v>
      </c>
      <c r="M4" s="113"/>
      <c r="N4" s="113" t="s">
        <v>23</v>
      </c>
      <c r="O4" s="113"/>
      <c r="P4" s="113"/>
      <c r="Q4" s="113"/>
    </row>
    <row r="5" hidden="1">
      <c r="A5" s="249">
        <v>8945.0</v>
      </c>
      <c r="B5" s="251" t="s">
        <v>5520</v>
      </c>
      <c r="C5" s="113" t="str">
        <f>IFERROR(__xludf.DUMMYFUNCTION("GOOGLETRANSLATE(B5)"),"On amendments to the Federal Law ""On Environmental Protection"" and certain legislative acts of the Russian Federation")</f>
        <v>On amendments to the Federal Law "On Environmental Protection" and certain legislative acts of the Russian Federation</v>
      </c>
      <c r="D5" s="113" t="s">
        <v>2905</v>
      </c>
      <c r="E5" s="113" t="s">
        <v>2906</v>
      </c>
      <c r="F5" s="113" t="s">
        <v>45</v>
      </c>
      <c r="G5" s="249"/>
      <c r="H5" s="249">
        <v>2014.0</v>
      </c>
      <c r="I5" s="113" t="s">
        <v>347</v>
      </c>
      <c r="J5" s="250" t="s">
        <v>5521</v>
      </c>
      <c r="K5" s="250" t="s">
        <v>5522</v>
      </c>
      <c r="L5" s="113" t="s">
        <v>5513</v>
      </c>
      <c r="M5" s="113"/>
      <c r="N5" s="113" t="s">
        <v>275</v>
      </c>
      <c r="O5" s="113"/>
      <c r="P5" s="113"/>
      <c r="Q5" s="113"/>
    </row>
    <row r="6" hidden="1">
      <c r="A6" s="249">
        <v>10032.0</v>
      </c>
      <c r="B6" s="247" t="s">
        <v>5523</v>
      </c>
      <c r="C6" s="113" t="str">
        <f>IFERROR(__xludf.DUMMYFUNCTION("GOOGLETRANSLATE(B6)"),"The Korean New Deal")</f>
        <v>The Korean New Deal</v>
      </c>
      <c r="D6" s="113" t="s">
        <v>2905</v>
      </c>
      <c r="E6" s="113" t="s">
        <v>2906</v>
      </c>
      <c r="F6" s="113" t="s">
        <v>144</v>
      </c>
      <c r="G6" s="249"/>
      <c r="H6" s="249">
        <v>2020.0</v>
      </c>
      <c r="I6" s="113" t="s">
        <v>24</v>
      </c>
      <c r="J6" s="250" t="s">
        <v>5524</v>
      </c>
      <c r="K6" s="250" t="s">
        <v>5525</v>
      </c>
      <c r="L6" s="113" t="s">
        <v>5513</v>
      </c>
      <c r="M6" s="113"/>
      <c r="N6" s="252" t="s">
        <v>229</v>
      </c>
      <c r="O6" s="113"/>
      <c r="P6" s="113"/>
      <c r="Q6" s="113"/>
    </row>
    <row r="7" hidden="1">
      <c r="A7" s="249">
        <v>10032.0</v>
      </c>
      <c r="B7" s="247" t="s">
        <v>5523</v>
      </c>
      <c r="C7" s="113" t="str">
        <f>IFERROR(__xludf.DUMMYFUNCTION("GOOGLETRANSLATE(B7)"),"The Korean New Deal")</f>
        <v>The Korean New Deal</v>
      </c>
      <c r="D7" s="113" t="s">
        <v>2905</v>
      </c>
      <c r="E7" s="113" t="s">
        <v>2906</v>
      </c>
      <c r="F7" s="113" t="s">
        <v>144</v>
      </c>
      <c r="G7" s="249"/>
      <c r="H7" s="249">
        <v>2020.0</v>
      </c>
      <c r="I7" s="248" t="s">
        <v>24</v>
      </c>
      <c r="J7" s="113" t="s">
        <v>5526</v>
      </c>
      <c r="K7" s="250" t="s">
        <v>5527</v>
      </c>
      <c r="L7" s="113" t="s">
        <v>5513</v>
      </c>
      <c r="M7" s="113"/>
      <c r="N7" s="113" t="s">
        <v>23</v>
      </c>
      <c r="O7" s="113"/>
      <c r="P7" s="113"/>
      <c r="Q7" s="113"/>
    </row>
    <row r="8" hidden="1">
      <c r="A8" s="249">
        <v>10466.0</v>
      </c>
      <c r="B8" s="247" t="s">
        <v>5528</v>
      </c>
      <c r="C8" s="113" t="str">
        <f>IFERROR(__xludf.DUMMYFUNCTION("GOOGLETRANSLATE(B8)"),"Regulations on the installation and operation of the carbon neutral committee")</f>
        <v>Regulations on the installation and operation of the carbon neutral committee</v>
      </c>
      <c r="D8" s="113" t="s">
        <v>2905</v>
      </c>
      <c r="E8" s="113" t="s">
        <v>2906</v>
      </c>
      <c r="F8" s="113" t="s">
        <v>34</v>
      </c>
      <c r="G8" s="249"/>
      <c r="H8" s="249">
        <v>2021.0</v>
      </c>
      <c r="I8" s="248" t="s">
        <v>2910</v>
      </c>
      <c r="J8" s="113" t="s">
        <v>5529</v>
      </c>
      <c r="K8" s="250" t="s">
        <v>5530</v>
      </c>
      <c r="L8" s="113" t="s">
        <v>5513</v>
      </c>
      <c r="M8" s="113"/>
      <c r="N8" s="113" t="s">
        <v>23</v>
      </c>
      <c r="O8" s="113"/>
      <c r="P8" s="113"/>
      <c r="Q8" s="113"/>
    </row>
    <row r="9" hidden="1">
      <c r="A9" s="253">
        <v>10466.0</v>
      </c>
      <c r="B9" s="254"/>
      <c r="C9" s="255" t="str">
        <f>IFERROR(__xludf.DUMMYFUNCTION("GOOGLETRANSLATE(B9)"),"#VALUE!")</f>
        <v>#VALUE!</v>
      </c>
      <c r="D9" s="255" t="s">
        <v>2905</v>
      </c>
      <c r="E9" s="255" t="s">
        <v>2906</v>
      </c>
      <c r="F9" s="255"/>
      <c r="G9" s="255"/>
      <c r="H9" s="255"/>
      <c r="I9" s="256" t="s">
        <v>2910</v>
      </c>
      <c r="J9" s="257" t="s">
        <v>5531</v>
      </c>
      <c r="K9" s="257" t="s">
        <v>5532</v>
      </c>
      <c r="L9" s="255" t="s">
        <v>5513</v>
      </c>
      <c r="M9" s="255"/>
      <c r="N9" s="255" t="s">
        <v>37</v>
      </c>
      <c r="O9" s="255"/>
      <c r="P9" s="255"/>
      <c r="Q9" s="255"/>
      <c r="R9" s="3"/>
      <c r="S9" s="3"/>
      <c r="T9" s="3"/>
      <c r="U9" s="3"/>
      <c r="V9" s="3"/>
      <c r="W9" s="3"/>
      <c r="X9" s="3"/>
      <c r="Y9" s="3"/>
      <c r="Z9" s="3"/>
      <c r="AA9" s="3"/>
      <c r="AB9" s="3"/>
    </row>
    <row r="10" hidden="1">
      <c r="A10" s="249">
        <v>10467.0</v>
      </c>
      <c r="B10" s="247" t="s">
        <v>5533</v>
      </c>
      <c r="C10" s="113" t="str">
        <f>IFERROR(__xludf.DUMMYFUNCTION("GOOGLETRANSLATE(B10)"),"2050 carbon neutral scenario")</f>
        <v>2050 carbon neutral scenario</v>
      </c>
      <c r="D10" s="113" t="s">
        <v>2905</v>
      </c>
      <c r="E10" s="113" t="s">
        <v>2906</v>
      </c>
      <c r="F10" s="248" t="s">
        <v>2329</v>
      </c>
      <c r="G10" s="249"/>
      <c r="H10" s="249">
        <v>2021.0</v>
      </c>
      <c r="I10" s="248" t="s">
        <v>2910</v>
      </c>
      <c r="J10" s="113" t="s">
        <v>5534</v>
      </c>
      <c r="K10" s="250" t="s">
        <v>5535</v>
      </c>
      <c r="L10" s="113" t="s">
        <v>5513</v>
      </c>
      <c r="M10" s="113"/>
      <c r="N10" s="113" t="s">
        <v>23</v>
      </c>
      <c r="O10" s="113"/>
      <c r="P10" s="113"/>
      <c r="Q10" s="113"/>
    </row>
    <row r="11">
      <c r="A11" s="249">
        <v>10467.0</v>
      </c>
      <c r="B11" s="247" t="s">
        <v>5536</v>
      </c>
      <c r="C11" s="113" t="str">
        <f>IFERROR(__xludf.DUMMYFUNCTION("GOOGLETRANSLATE(B11)"),"2030 National Greenhouse Gas Reduction Target (NDC) Upward")</f>
        <v>2030 National Greenhouse Gas Reduction Target (NDC) Upward</v>
      </c>
      <c r="D11" s="113" t="s">
        <v>2905</v>
      </c>
      <c r="E11" s="113" t="s">
        <v>2906</v>
      </c>
      <c r="F11" s="256" t="s">
        <v>234</v>
      </c>
      <c r="G11" s="249"/>
      <c r="H11" s="249">
        <v>2021.0</v>
      </c>
      <c r="I11" s="248" t="s">
        <v>2910</v>
      </c>
      <c r="J11" s="113" t="s">
        <v>5537</v>
      </c>
      <c r="K11" s="250" t="s">
        <v>5538</v>
      </c>
      <c r="L11" s="113" t="s">
        <v>5513</v>
      </c>
      <c r="M11" s="113"/>
      <c r="N11" s="113" t="s">
        <v>23</v>
      </c>
      <c r="O11" s="113"/>
      <c r="P11" s="113"/>
      <c r="Q11" s="113"/>
    </row>
    <row r="12" hidden="1">
      <c r="A12" s="249">
        <v>1669.0</v>
      </c>
      <c r="B12" s="247" t="s">
        <v>5539</v>
      </c>
      <c r="C12" s="113" t="str">
        <f>IFERROR(__xludf.DUMMYFUNCTION("GOOGLETRANSLATE(B12)"),"Law 2/2011, of March 4, of Sustainable Economics")</f>
        <v>Law 2/2011, of March 4, of Sustainable Economics</v>
      </c>
      <c r="D12" s="113" t="s">
        <v>5287</v>
      </c>
      <c r="E12" s="113" t="s">
        <v>5288</v>
      </c>
      <c r="F12" s="113" t="s">
        <v>41</v>
      </c>
      <c r="G12" s="249"/>
      <c r="H12" s="249">
        <v>2011.0</v>
      </c>
      <c r="I12" s="248" t="s">
        <v>924</v>
      </c>
      <c r="J12" s="113" t="s">
        <v>5540</v>
      </c>
      <c r="K12" s="250" t="s">
        <v>5541</v>
      </c>
      <c r="L12" s="113" t="s">
        <v>5513</v>
      </c>
      <c r="M12" s="113"/>
      <c r="N12" s="113" t="s">
        <v>23</v>
      </c>
      <c r="O12" s="113"/>
      <c r="P12" s="113"/>
      <c r="Q12" s="113"/>
    </row>
    <row r="13" hidden="1">
      <c r="A13" s="249">
        <v>1669.0</v>
      </c>
      <c r="B13" s="247" t="s">
        <v>5542</v>
      </c>
      <c r="C13" s="113" t="str">
        <f>IFERROR(__xludf.DUMMYFUNCTION("GOOGLETRANSLATE(B13)"),"STATE OFFICIAL NEWSLETTER")</f>
        <v>STATE OFFICIAL NEWSLETTER</v>
      </c>
      <c r="D13" s="113" t="s">
        <v>5287</v>
      </c>
      <c r="E13" s="113" t="s">
        <v>5288</v>
      </c>
      <c r="F13" s="113" t="s">
        <v>5543</v>
      </c>
      <c r="G13" s="249"/>
      <c r="H13" s="249">
        <v>2015.0</v>
      </c>
      <c r="I13" s="248" t="s">
        <v>924</v>
      </c>
      <c r="J13" s="113" t="s">
        <v>5544</v>
      </c>
      <c r="K13" s="250" t="s">
        <v>5545</v>
      </c>
      <c r="L13" s="113" t="s">
        <v>5513</v>
      </c>
      <c r="M13" s="113"/>
      <c r="N13" s="113" t="s">
        <v>23</v>
      </c>
      <c r="O13" s="113"/>
      <c r="P13" s="113"/>
      <c r="Q13" s="113"/>
    </row>
    <row r="14" hidden="1">
      <c r="A14" s="249">
        <v>1674.0</v>
      </c>
      <c r="B14" s="247" t="s">
        <v>5546</v>
      </c>
      <c r="C14" s="113" t="str">
        <f>IFERROR(__xludf.DUMMYFUNCTION("GOOGLETRANSLATE(B14)"),"SPANISH CLIMATE CHANGE AND CLEAN ENERGY STRATEGY HORIZON 2007- 2012 -2020")</f>
        <v>SPANISH CLIMATE CHANGE AND CLEAN ENERGY STRATEGY HORIZON 2007- 2012 -2020</v>
      </c>
      <c r="D14" s="113" t="s">
        <v>5287</v>
      </c>
      <c r="E14" s="113" t="s">
        <v>5288</v>
      </c>
      <c r="F14" s="113" t="s">
        <v>144</v>
      </c>
      <c r="G14" s="249"/>
      <c r="H14" s="249">
        <v>2007.0</v>
      </c>
      <c r="I14" s="248" t="s">
        <v>24</v>
      </c>
      <c r="J14" s="113" t="s">
        <v>5547</v>
      </c>
      <c r="K14" s="250" t="s">
        <v>5548</v>
      </c>
      <c r="L14" s="113" t="s">
        <v>5513</v>
      </c>
      <c r="M14" s="113"/>
      <c r="N14" s="113" t="s">
        <v>23</v>
      </c>
      <c r="O14" s="113"/>
      <c r="P14" s="113"/>
      <c r="Q14" s="113"/>
    </row>
    <row r="15" hidden="1">
      <c r="A15" s="249">
        <v>1674.0</v>
      </c>
      <c r="B15" s="247" t="s">
        <v>5549</v>
      </c>
      <c r="C15" s="113" t="str">
        <f>IFERROR(__xludf.DUMMYFUNCTION("GOOGLETRANSLATE(B15)"),"Spanish Climate Change Strategy and Clean Energy Horizon 2007-202020")</f>
        <v>Spanish Climate Change Strategy and Clean Energy Horizon 2007-202020</v>
      </c>
      <c r="D15" s="113" t="s">
        <v>5287</v>
      </c>
      <c r="E15" s="113" t="s">
        <v>5288</v>
      </c>
      <c r="F15" s="113" t="s">
        <v>144</v>
      </c>
      <c r="G15" s="249"/>
      <c r="H15" s="249">
        <v>2007.0</v>
      </c>
      <c r="I15" s="248" t="s">
        <v>924</v>
      </c>
      <c r="J15" s="113" t="s">
        <v>5550</v>
      </c>
      <c r="K15" s="250" t="s">
        <v>5551</v>
      </c>
      <c r="L15" s="113" t="s">
        <v>5513</v>
      </c>
      <c r="M15" s="113"/>
      <c r="N15" s="113" t="s">
        <v>23</v>
      </c>
      <c r="O15" s="113"/>
      <c r="P15" s="113"/>
      <c r="Q15" s="113"/>
    </row>
    <row r="16" hidden="1">
      <c r="A16" s="249">
        <v>8573.0</v>
      </c>
      <c r="B16" s="258" t="s">
        <v>5552</v>
      </c>
      <c r="C16" s="113" t="str">
        <f>IFERROR(__xludf.DUMMYFUNCTION("GOOGLETRANSLATE(B16)"),"Royal Decree 177/1998, of February 16, which creates the National Climate Council.")</f>
        <v>Royal Decree 177/1998, of February 16, which creates the National Climate Council.</v>
      </c>
      <c r="D16" s="113" t="s">
        <v>5287</v>
      </c>
      <c r="E16" s="113" t="s">
        <v>5288</v>
      </c>
      <c r="F16" s="113" t="s">
        <v>18</v>
      </c>
      <c r="G16" s="249"/>
      <c r="H16" s="249">
        <v>1998.0</v>
      </c>
      <c r="I16" s="248" t="s">
        <v>924</v>
      </c>
      <c r="J16" s="250" t="s">
        <v>5553</v>
      </c>
      <c r="K16" s="250" t="s">
        <v>5554</v>
      </c>
      <c r="L16" s="113" t="s">
        <v>5513</v>
      </c>
      <c r="M16" s="113"/>
      <c r="N16" s="252" t="s">
        <v>326</v>
      </c>
      <c r="O16" s="113"/>
      <c r="P16" s="113"/>
      <c r="Q16" s="113"/>
    </row>
    <row r="17" hidden="1">
      <c r="A17" s="249">
        <v>8573.0</v>
      </c>
      <c r="B17" s="247" t="s">
        <v>5555</v>
      </c>
      <c r="C17" s="113" t="str">
        <f>IFERROR(__xludf.DUMMYFUNCTION("GOOGLETRANSLATE(B17)"),"Royal Decree 1188/2001, of November 2, which regulates the composition and functions of the National Climate Council.")</f>
        <v>Royal Decree 1188/2001, of November 2, which regulates the composition and functions of the National Climate Council.</v>
      </c>
      <c r="D17" s="113" t="s">
        <v>5287</v>
      </c>
      <c r="E17" s="113" t="s">
        <v>5288</v>
      </c>
      <c r="F17" s="113" t="s">
        <v>18</v>
      </c>
      <c r="G17" s="249"/>
      <c r="H17" s="249">
        <v>2001.0</v>
      </c>
      <c r="I17" s="248" t="s">
        <v>924</v>
      </c>
      <c r="J17" s="113" t="s">
        <v>5556</v>
      </c>
      <c r="K17" s="250" t="s">
        <v>5557</v>
      </c>
      <c r="L17" s="113" t="s">
        <v>5513</v>
      </c>
      <c r="M17" s="113"/>
      <c r="N17" s="113" t="s">
        <v>23</v>
      </c>
      <c r="O17" s="113"/>
      <c r="P17" s="113"/>
      <c r="Q17" s="113"/>
    </row>
    <row r="18" hidden="1">
      <c r="A18" s="249">
        <v>8573.0</v>
      </c>
      <c r="B18" s="259" t="s">
        <v>5558</v>
      </c>
      <c r="C18" s="113" t="str">
        <f>IFERROR(__xludf.DUMMYFUNCTION("GOOGLETRANSLATE(B18)"),"Royal Decree 415/2014, of June 6, which regulates the composition and functions of the National Climate Council")</f>
        <v>Royal Decree 415/2014, of June 6, which regulates the composition and functions of the National Climate Council</v>
      </c>
      <c r="D18" s="113" t="s">
        <v>5287</v>
      </c>
      <c r="E18" s="113" t="s">
        <v>5288</v>
      </c>
      <c r="F18" s="248" t="s">
        <v>18</v>
      </c>
      <c r="G18" s="248"/>
      <c r="H18" s="248">
        <v>2014.0</v>
      </c>
      <c r="I18" s="248" t="s">
        <v>924</v>
      </c>
      <c r="J18" s="113" t="s">
        <v>5559</v>
      </c>
      <c r="K18" s="250" t="s">
        <v>5560</v>
      </c>
      <c r="L18" s="113" t="s">
        <v>5513</v>
      </c>
      <c r="M18" s="113"/>
      <c r="N18" s="113" t="s">
        <v>23</v>
      </c>
      <c r="O18" s="113"/>
      <c r="P18" s="113"/>
      <c r="Q18" s="113"/>
    </row>
    <row r="19" hidden="1">
      <c r="A19" s="253">
        <v>8573.0</v>
      </c>
      <c r="B19" s="254"/>
      <c r="C19" s="255" t="str">
        <f>IFERROR(__xludf.DUMMYFUNCTION("GOOGLETRANSLATE(B19)"),"#VALUE!")</f>
        <v>#VALUE!</v>
      </c>
      <c r="D19" s="255" t="s">
        <v>5287</v>
      </c>
      <c r="E19" s="255" t="s">
        <v>5288</v>
      </c>
      <c r="F19" s="255"/>
      <c r="G19" s="255"/>
      <c r="H19" s="255"/>
      <c r="I19" s="255"/>
      <c r="J19" s="255" t="s">
        <v>5561</v>
      </c>
      <c r="K19" s="257" t="s">
        <v>5562</v>
      </c>
      <c r="L19" s="255" t="s">
        <v>5513</v>
      </c>
      <c r="M19" s="255"/>
      <c r="N19" s="260" t="s">
        <v>92</v>
      </c>
      <c r="O19" s="255"/>
      <c r="P19" s="255"/>
      <c r="Q19" s="255"/>
      <c r="R19" s="3"/>
      <c r="S19" s="3"/>
      <c r="T19" s="3"/>
      <c r="U19" s="3"/>
      <c r="V19" s="3"/>
      <c r="W19" s="3"/>
      <c r="X19" s="3"/>
      <c r="Y19" s="3"/>
      <c r="Z19" s="3"/>
      <c r="AA19" s="3"/>
      <c r="AB19" s="3"/>
    </row>
    <row r="20" hidden="1">
      <c r="A20" s="249">
        <v>8574.0</v>
      </c>
      <c r="B20" s="258" t="s">
        <v>5563</v>
      </c>
      <c r="C20" s="113" t="str">
        <f>IFERROR(__xludf.DUMMYFUNCTION("GOOGLETRANSLATE(B20)"),"Law 1/2005, of March 9, which regulates the regime of the trade of greenhouse gases emission.")</f>
        <v>Law 1/2005, of March 9, which regulates the regime of the trade of greenhouse gases emission.</v>
      </c>
      <c r="D20" s="113" t="s">
        <v>5287</v>
      </c>
      <c r="E20" s="113" t="s">
        <v>5288</v>
      </c>
      <c r="F20" s="113" t="s">
        <v>41</v>
      </c>
      <c r="G20" s="249"/>
      <c r="H20" s="249">
        <v>2005.0</v>
      </c>
      <c r="I20" s="248" t="s">
        <v>924</v>
      </c>
      <c r="J20" s="113" t="s">
        <v>5564</v>
      </c>
      <c r="K20" s="250" t="s">
        <v>5565</v>
      </c>
      <c r="L20" s="113" t="s">
        <v>5513</v>
      </c>
      <c r="M20" s="113"/>
      <c r="N20" s="252" t="s">
        <v>229</v>
      </c>
      <c r="O20" s="113"/>
      <c r="P20" s="113"/>
      <c r="Q20" s="113"/>
    </row>
    <row r="21" hidden="1">
      <c r="A21" s="249">
        <v>8574.0</v>
      </c>
      <c r="B21" s="247" t="s">
        <v>5566</v>
      </c>
      <c r="C21" s="113" t="str">
        <f>IFERROR(__xludf.DUMMYFUNCTION("GOOGLETRANSLATE(B21)"),"Real Decree 1315/2005")</f>
        <v>Real Decree 1315/2005</v>
      </c>
      <c r="D21" s="113" t="s">
        <v>5287</v>
      </c>
      <c r="E21" s="113" t="s">
        <v>5288</v>
      </c>
      <c r="F21" s="113" t="s">
        <v>18</v>
      </c>
      <c r="G21" s="249"/>
      <c r="H21" s="249">
        <v>2005.0</v>
      </c>
      <c r="I21" s="248" t="s">
        <v>924</v>
      </c>
      <c r="J21" s="113" t="s">
        <v>5567</v>
      </c>
      <c r="K21" s="250" t="s">
        <v>5568</v>
      </c>
      <c r="L21" s="113" t="s">
        <v>5513</v>
      </c>
      <c r="M21" s="113"/>
      <c r="N21" s="113" t="s">
        <v>23</v>
      </c>
      <c r="O21" s="113"/>
      <c r="P21" s="113"/>
      <c r="Q21" s="113"/>
    </row>
    <row r="22" hidden="1">
      <c r="A22" s="249">
        <v>8574.0</v>
      </c>
      <c r="B22" s="247" t="s">
        <v>5569</v>
      </c>
      <c r="C22" s="113" t="str">
        <f>IFERROR(__xludf.DUMMYFUNCTION("GOOGLETRANSLATE(B22)"),"Real Decree 1264/2005")</f>
        <v>Real Decree 1264/2005</v>
      </c>
      <c r="D22" s="113" t="s">
        <v>5287</v>
      </c>
      <c r="E22" s="113" t="s">
        <v>5288</v>
      </c>
      <c r="F22" s="113" t="s">
        <v>18</v>
      </c>
      <c r="G22" s="249"/>
      <c r="H22" s="249">
        <v>2005.0</v>
      </c>
      <c r="I22" s="248" t="s">
        <v>924</v>
      </c>
      <c r="J22" s="113" t="s">
        <v>5570</v>
      </c>
      <c r="K22" s="250" t="s">
        <v>5571</v>
      </c>
      <c r="L22" s="113" t="s">
        <v>5513</v>
      </c>
      <c r="M22" s="113"/>
      <c r="N22" s="113" t="s">
        <v>23</v>
      </c>
      <c r="O22" s="113"/>
      <c r="P22" s="113"/>
      <c r="Q22" s="113"/>
    </row>
    <row r="23" hidden="1">
      <c r="A23" s="249">
        <v>8980.0</v>
      </c>
      <c r="B23" s="247" t="s">
        <v>5572</v>
      </c>
      <c r="C23" s="113" t="str">
        <f>IFERROR(__xludf.DUMMYFUNCTION("GOOGLETRANSLATE(B23)"),"National Action Program against Desertification")</f>
        <v>National Action Program against Desertification</v>
      </c>
      <c r="D23" s="113" t="s">
        <v>5287</v>
      </c>
      <c r="E23" s="113" t="s">
        <v>5288</v>
      </c>
      <c r="F23" s="113" t="s">
        <v>850</v>
      </c>
      <c r="G23" s="249"/>
      <c r="H23" s="249">
        <v>2008.0</v>
      </c>
      <c r="I23" s="248" t="s">
        <v>924</v>
      </c>
      <c r="J23" s="113" t="s">
        <v>5573</v>
      </c>
      <c r="K23" s="250" t="s">
        <v>5574</v>
      </c>
      <c r="L23" s="113" t="s">
        <v>5513</v>
      </c>
      <c r="M23" s="113"/>
      <c r="N23" s="113" t="s">
        <v>23</v>
      </c>
      <c r="O23" s="113"/>
      <c r="P23" s="113"/>
      <c r="Q23" s="113"/>
    </row>
    <row r="24" hidden="1">
      <c r="A24" s="249">
        <v>8980.0</v>
      </c>
      <c r="B24" s="247" t="s">
        <v>5575</v>
      </c>
      <c r="C24" s="113" t="str">
        <f>IFERROR(__xludf.DUMMYFUNCTION("GOOGLETRANSLATE(B24)"),"Order Arm/2444/2008")</f>
        <v>Order Arm/2444/2008</v>
      </c>
      <c r="D24" s="113" t="s">
        <v>5287</v>
      </c>
      <c r="E24" s="113" t="s">
        <v>5288</v>
      </c>
      <c r="F24" s="113" t="s">
        <v>1340</v>
      </c>
      <c r="G24" s="249"/>
      <c r="H24" s="249">
        <v>2008.0</v>
      </c>
      <c r="I24" s="248" t="s">
        <v>924</v>
      </c>
      <c r="J24" s="113" t="s">
        <v>5576</v>
      </c>
      <c r="K24" s="250" t="s">
        <v>5577</v>
      </c>
      <c r="L24" s="113" t="s">
        <v>5513</v>
      </c>
      <c r="M24" s="113"/>
      <c r="N24" s="113" t="s">
        <v>23</v>
      </c>
      <c r="O24" s="113"/>
      <c r="P24" s="113"/>
      <c r="Q24" s="113"/>
    </row>
    <row r="25" hidden="1">
      <c r="A25" s="249">
        <v>8994.0</v>
      </c>
      <c r="B25" s="247" t="s">
        <v>5578</v>
      </c>
      <c r="C25" s="113" t="str">
        <f>IFERROR(__xludf.DUMMYFUNCTION("GOOGLETRANSLATE(B25)"),"Law 45/2007, of December 13, for the sustainable development of the medium")</f>
        <v>Law 45/2007, of December 13, for the sustainable development of the medium</v>
      </c>
      <c r="D25" s="113" t="s">
        <v>5287</v>
      </c>
      <c r="E25" s="113" t="s">
        <v>5288</v>
      </c>
      <c r="F25" s="113" t="s">
        <v>41</v>
      </c>
      <c r="G25" s="249"/>
      <c r="H25" s="249">
        <v>2007.0</v>
      </c>
      <c r="I25" s="248" t="s">
        <v>924</v>
      </c>
      <c r="J25" s="113" t="s">
        <v>5579</v>
      </c>
      <c r="K25" s="250" t="s">
        <v>5580</v>
      </c>
      <c r="L25" s="113" t="s">
        <v>5513</v>
      </c>
      <c r="M25" s="113"/>
      <c r="N25" s="113" t="s">
        <v>23</v>
      </c>
      <c r="O25" s="113"/>
      <c r="P25" s="113"/>
      <c r="Q25" s="113"/>
    </row>
    <row r="26" hidden="1">
      <c r="A26" s="249">
        <v>8994.0</v>
      </c>
      <c r="B26" s="247" t="s">
        <v>5581</v>
      </c>
      <c r="C26" s="113" t="str">
        <f>IFERROR(__xludf.DUMMYFUNCTION("GOOGLETRANSLATE(B26)"),"Royal Decree 752/2010, of June 4, which approves the first sustainable rural development program for the 2010-2014 period in application of Law 45/2007, of December 13, for the sustainable development of the rural environment .")</f>
        <v>Royal Decree 752/2010, of June 4, which approves the first sustainable rural development program for the 2010-2014 period in application of Law 45/2007, of December 13, for the sustainable development of the rural environment .</v>
      </c>
      <c r="D26" s="113" t="s">
        <v>5287</v>
      </c>
      <c r="E26" s="113" t="s">
        <v>5288</v>
      </c>
      <c r="F26" s="113" t="s">
        <v>18</v>
      </c>
      <c r="G26" s="249"/>
      <c r="H26" s="249">
        <v>2010.0</v>
      </c>
      <c r="I26" s="248" t="s">
        <v>924</v>
      </c>
      <c r="J26" s="113" t="s">
        <v>5582</v>
      </c>
      <c r="K26" s="250" t="s">
        <v>5583</v>
      </c>
      <c r="L26" s="113" t="s">
        <v>5513</v>
      </c>
      <c r="M26" s="113"/>
      <c r="N26" s="113" t="s">
        <v>23</v>
      </c>
      <c r="O26" s="113"/>
      <c r="P26" s="113"/>
      <c r="Q26" s="113"/>
    </row>
    <row r="27" hidden="1">
      <c r="A27" s="249">
        <v>9517.0</v>
      </c>
      <c r="B27" s="247" t="s">
        <v>5584</v>
      </c>
      <c r="C27" s="113" t="str">
        <f>IFERROR(__xludf.DUMMYFUNCTION("GOOGLETRANSLATE(B27)"),"INTEGRATED NATIONAL ENERGY AND CLIMATE PLAN 2021-2030")</f>
        <v>INTEGRATED NATIONAL ENERGY AND CLIMATE PLAN 2021-2030</v>
      </c>
      <c r="D27" s="113" t="s">
        <v>5287</v>
      </c>
      <c r="E27" s="113" t="s">
        <v>5288</v>
      </c>
      <c r="F27" s="113" t="s">
        <v>234</v>
      </c>
      <c r="G27" s="249"/>
      <c r="H27" s="249">
        <v>2020.0</v>
      </c>
      <c r="I27" s="248" t="s">
        <v>24</v>
      </c>
      <c r="J27" s="113" t="s">
        <v>5585</v>
      </c>
      <c r="K27" s="250" t="s">
        <v>5586</v>
      </c>
      <c r="L27" s="113" t="s">
        <v>5513</v>
      </c>
      <c r="M27" s="113"/>
      <c r="N27" s="113" t="s">
        <v>23</v>
      </c>
      <c r="O27" s="113"/>
      <c r="P27" s="113"/>
      <c r="Q27" s="113"/>
    </row>
    <row r="28" hidden="1">
      <c r="A28" s="249">
        <v>9517.0</v>
      </c>
      <c r="B28" s="247" t="s">
        <v>5587</v>
      </c>
      <c r="C28" s="113" t="str">
        <f>IFERROR(__xludf.DUMMYFUNCTION("GOOGLETRANSLATE(B28)"),"Integrated Energy and Climate Plan 2021-2030")</f>
        <v>Integrated Energy and Climate Plan 2021-2030</v>
      </c>
      <c r="D28" s="113" t="s">
        <v>5287</v>
      </c>
      <c r="E28" s="113" t="s">
        <v>5288</v>
      </c>
      <c r="F28" s="113" t="s">
        <v>234</v>
      </c>
      <c r="G28" s="249"/>
      <c r="H28" s="249">
        <v>2020.0</v>
      </c>
      <c r="I28" s="248" t="s">
        <v>924</v>
      </c>
      <c r="J28" s="113" t="s">
        <v>5588</v>
      </c>
      <c r="K28" s="250" t="s">
        <v>5589</v>
      </c>
      <c r="L28" s="113" t="s">
        <v>5513</v>
      </c>
      <c r="M28" s="113"/>
      <c r="N28" s="113" t="s">
        <v>37</v>
      </c>
      <c r="O28" s="113"/>
      <c r="P28" s="113"/>
      <c r="Q28" s="113"/>
    </row>
    <row r="29" hidden="1">
      <c r="A29" s="249">
        <v>9517.0</v>
      </c>
      <c r="B29" s="261" t="s">
        <v>5590</v>
      </c>
      <c r="C29" s="113" t="str">
        <f>IFERROR(__xludf.DUMMYFUNCTION("GOOGLETRANSLATE(B29)"),"National Plan for Climate Change Adaptation")</f>
        <v>National Plan for Climate Change Adaptation</v>
      </c>
      <c r="D29" s="113" t="s">
        <v>5287</v>
      </c>
      <c r="E29" s="113" t="s">
        <v>5288</v>
      </c>
      <c r="F29" s="248" t="s">
        <v>234</v>
      </c>
      <c r="G29" s="249"/>
      <c r="H29" s="249">
        <v>2020.0</v>
      </c>
      <c r="I29" s="248" t="s">
        <v>924</v>
      </c>
      <c r="J29" s="113" t="s">
        <v>5591</v>
      </c>
      <c r="K29" s="250" t="s">
        <v>5592</v>
      </c>
      <c r="L29" s="113" t="s">
        <v>5513</v>
      </c>
      <c r="M29" s="113"/>
      <c r="N29" s="252" t="s">
        <v>92</v>
      </c>
      <c r="O29" s="113"/>
      <c r="P29" s="113"/>
      <c r="Q29" s="113"/>
    </row>
    <row r="30" hidden="1">
      <c r="A30" s="249">
        <v>9517.0</v>
      </c>
      <c r="B30" s="261" t="s">
        <v>5590</v>
      </c>
      <c r="C30" s="113" t="str">
        <f>IFERROR(__xludf.DUMMYFUNCTION("GOOGLETRANSLATE(B30)"),"National Plan for Climate Change Adaptation")</f>
        <v>National Plan for Climate Change Adaptation</v>
      </c>
      <c r="D30" s="113" t="s">
        <v>5287</v>
      </c>
      <c r="E30" s="113" t="s">
        <v>5288</v>
      </c>
      <c r="F30" s="248" t="s">
        <v>234</v>
      </c>
      <c r="G30" s="249"/>
      <c r="H30" s="249">
        <v>2020.0</v>
      </c>
      <c r="I30" s="248" t="s">
        <v>924</v>
      </c>
      <c r="J30" s="113" t="s">
        <v>5593</v>
      </c>
      <c r="K30" s="250" t="s">
        <v>5594</v>
      </c>
      <c r="L30" s="113" t="s">
        <v>5513</v>
      </c>
      <c r="M30" s="113"/>
      <c r="N30" s="113" t="s">
        <v>23</v>
      </c>
      <c r="O30" s="113"/>
      <c r="P30" s="113"/>
      <c r="Q30" s="113"/>
    </row>
    <row r="31" hidden="1">
      <c r="A31" s="249">
        <v>9734.0</v>
      </c>
      <c r="B31" s="258" t="s">
        <v>5595</v>
      </c>
      <c r="C31" s="113" t="str">
        <f>IFERROR(__xludf.DUMMYFUNCTION("GOOGLETRANSLATE(B31)"),"Royal Decree 960/2020, of November 3, which regulates the economic regime of renewable energy for electric power production facilities.")</f>
        <v>Royal Decree 960/2020, of November 3, which regulates the economic regime of renewable energy for electric power production facilities.</v>
      </c>
      <c r="D31" s="113" t="s">
        <v>5287</v>
      </c>
      <c r="E31" s="113" t="s">
        <v>5288</v>
      </c>
      <c r="F31" s="113" t="s">
        <v>18</v>
      </c>
      <c r="G31" s="249"/>
      <c r="H31" s="249">
        <v>2020.0</v>
      </c>
      <c r="I31" s="248" t="s">
        <v>924</v>
      </c>
      <c r="J31" s="250" t="s">
        <v>5596</v>
      </c>
      <c r="K31" s="250" t="s">
        <v>5597</v>
      </c>
      <c r="L31" s="113" t="s">
        <v>5513</v>
      </c>
      <c r="M31" s="113"/>
      <c r="N31" s="252" t="s">
        <v>326</v>
      </c>
      <c r="O31" s="113"/>
      <c r="P31" s="113"/>
      <c r="Q31" s="113"/>
    </row>
    <row r="32" hidden="1">
      <c r="A32" s="249">
        <v>9734.0</v>
      </c>
      <c r="B32" s="247" t="s">
        <v>5595</v>
      </c>
      <c r="C32" s="113" t="str">
        <f>IFERROR(__xludf.DUMMYFUNCTION("GOOGLETRANSLATE(B32)"),"Royal Decree 960/2020, of November 3, which regulates the economic regime of renewable energy for electric power production facilities.")</f>
        <v>Royal Decree 960/2020, of November 3, which regulates the economic regime of renewable energy for electric power production facilities.</v>
      </c>
      <c r="D32" s="113" t="s">
        <v>5287</v>
      </c>
      <c r="E32" s="113" t="s">
        <v>5288</v>
      </c>
      <c r="F32" s="113" t="s">
        <v>18</v>
      </c>
      <c r="G32" s="249"/>
      <c r="H32" s="249">
        <v>2020.0</v>
      </c>
      <c r="I32" s="248" t="s">
        <v>924</v>
      </c>
      <c r="J32" s="113" t="s">
        <v>5598</v>
      </c>
      <c r="K32" s="250" t="s">
        <v>5599</v>
      </c>
      <c r="L32" s="113" t="s">
        <v>5513</v>
      </c>
      <c r="M32" s="113"/>
      <c r="N32" s="113" t="s">
        <v>23</v>
      </c>
      <c r="O32" s="113"/>
      <c r="P32" s="113"/>
      <c r="Q32" s="113"/>
    </row>
    <row r="33" hidden="1">
      <c r="A33" s="253">
        <v>9735.0</v>
      </c>
      <c r="B33" s="254"/>
      <c r="C33" s="255" t="str">
        <f>IFERROR(__xludf.DUMMYFUNCTION("GOOGLETRANSLATE(B33)"),"#VALUE!")</f>
        <v>#VALUE!</v>
      </c>
      <c r="D33" s="255" t="s">
        <v>5287</v>
      </c>
      <c r="E33" s="255" t="s">
        <v>5288</v>
      </c>
      <c r="F33" s="255"/>
      <c r="G33" s="255"/>
      <c r="H33" s="255"/>
      <c r="I33" s="255"/>
      <c r="J33" s="255" t="s">
        <v>5600</v>
      </c>
      <c r="K33" s="257" t="s">
        <v>5601</v>
      </c>
      <c r="L33" s="255" t="s">
        <v>5513</v>
      </c>
      <c r="M33" s="255"/>
      <c r="N33" s="255" t="s">
        <v>37</v>
      </c>
      <c r="O33" s="255"/>
      <c r="P33" s="255"/>
      <c r="Q33" s="255"/>
      <c r="R33" s="3"/>
      <c r="S33" s="3"/>
      <c r="T33" s="3"/>
      <c r="U33" s="3"/>
      <c r="V33" s="3"/>
      <c r="W33" s="3"/>
      <c r="X33" s="3"/>
      <c r="Y33" s="3"/>
      <c r="Z33" s="3"/>
      <c r="AA33" s="3"/>
      <c r="AB33" s="3"/>
    </row>
    <row r="34" hidden="1">
      <c r="A34" s="249">
        <v>9735.0</v>
      </c>
      <c r="B34" s="247" t="s">
        <v>5602</v>
      </c>
      <c r="C34" s="113" t="str">
        <f>IFERROR(__xludf.DUMMYFUNCTION("GOOGLETRANSLATE(B34)"),"Long -term strategy for energy rehabilitation in the building sector in Spain")</f>
        <v>Long -term strategy for energy rehabilitation in the building sector in Spain</v>
      </c>
      <c r="D34" s="113" t="s">
        <v>5287</v>
      </c>
      <c r="E34" s="113" t="s">
        <v>5288</v>
      </c>
      <c r="F34" s="113" t="s">
        <v>144</v>
      </c>
      <c r="G34" s="249"/>
      <c r="H34" s="249">
        <v>2020.0</v>
      </c>
      <c r="I34" s="248" t="s">
        <v>924</v>
      </c>
      <c r="J34" s="113" t="s">
        <v>5603</v>
      </c>
      <c r="K34" s="250" t="s">
        <v>5604</v>
      </c>
      <c r="L34" s="113" t="s">
        <v>5513</v>
      </c>
      <c r="M34" s="113"/>
      <c r="N34" s="252" t="s">
        <v>92</v>
      </c>
      <c r="O34" s="113"/>
      <c r="P34" s="113"/>
      <c r="Q34" s="113"/>
    </row>
    <row r="35" hidden="1">
      <c r="A35" s="253">
        <v>9756.0</v>
      </c>
      <c r="B35" s="254"/>
      <c r="C35" s="255" t="str">
        <f>IFERROR(__xludf.DUMMYFUNCTION("GOOGLETRANSLATE(B35)"),"#VALUE!")</f>
        <v>#VALUE!</v>
      </c>
      <c r="D35" s="255" t="s">
        <v>5287</v>
      </c>
      <c r="E35" s="255" t="s">
        <v>5288</v>
      </c>
      <c r="F35" s="255"/>
      <c r="G35" s="255"/>
      <c r="H35" s="255"/>
      <c r="I35" s="255"/>
      <c r="J35" s="255" t="s">
        <v>5605</v>
      </c>
      <c r="K35" s="257" t="s">
        <v>5606</v>
      </c>
      <c r="L35" s="255" t="s">
        <v>5513</v>
      </c>
      <c r="M35" s="255"/>
      <c r="N35" s="260" t="s">
        <v>92</v>
      </c>
      <c r="O35" s="255"/>
      <c r="P35" s="255"/>
      <c r="Q35" s="255"/>
      <c r="R35" s="3"/>
      <c r="S35" s="3"/>
      <c r="T35" s="3"/>
      <c r="U35" s="3"/>
      <c r="V35" s="3"/>
      <c r="W35" s="3"/>
      <c r="X35" s="3"/>
      <c r="Y35" s="3"/>
      <c r="Z35" s="3"/>
      <c r="AA35" s="3"/>
      <c r="AB35" s="3"/>
    </row>
    <row r="36" hidden="1">
      <c r="A36" s="253">
        <v>9756.0</v>
      </c>
      <c r="B36" s="254"/>
      <c r="C36" s="255" t="str">
        <f>IFERROR(__xludf.DUMMYFUNCTION("GOOGLETRANSLATE(B36)"),"#VALUE!")</f>
        <v>#VALUE!</v>
      </c>
      <c r="D36" s="255" t="s">
        <v>5287</v>
      </c>
      <c r="E36" s="255" t="s">
        <v>5288</v>
      </c>
      <c r="F36" s="255"/>
      <c r="G36" s="255"/>
      <c r="H36" s="255"/>
      <c r="I36" s="255"/>
      <c r="J36" s="255" t="s">
        <v>5607</v>
      </c>
      <c r="K36" s="257" t="s">
        <v>5608</v>
      </c>
      <c r="L36" s="255" t="s">
        <v>5513</v>
      </c>
      <c r="M36" s="255"/>
      <c r="N36" s="260" t="s">
        <v>92</v>
      </c>
      <c r="O36" s="255"/>
      <c r="P36" s="255"/>
      <c r="Q36" s="255"/>
      <c r="R36" s="3"/>
      <c r="S36" s="3"/>
      <c r="T36" s="3"/>
      <c r="U36" s="3"/>
      <c r="V36" s="3"/>
      <c r="W36" s="3"/>
      <c r="X36" s="3"/>
      <c r="Y36" s="3"/>
      <c r="Z36" s="3"/>
      <c r="AA36" s="3"/>
      <c r="AB36" s="3"/>
    </row>
    <row r="37" hidden="1">
      <c r="A37" s="249">
        <v>10039.0</v>
      </c>
      <c r="B37" s="247" t="s">
        <v>5609</v>
      </c>
      <c r="C37" s="113" t="str">
        <f>IFERROR(__xludf.DUMMYFUNCTION("GOOGLETRANSLATE(B37)"),"Long -term decarbonization strategy 2050")</f>
        <v>Long -term decarbonization strategy 2050</v>
      </c>
      <c r="D37" s="113" t="s">
        <v>5287</v>
      </c>
      <c r="E37" s="113" t="s">
        <v>5288</v>
      </c>
      <c r="F37" s="113" t="s">
        <v>144</v>
      </c>
      <c r="G37" s="249"/>
      <c r="H37" s="249">
        <v>2020.0</v>
      </c>
      <c r="I37" s="248" t="s">
        <v>924</v>
      </c>
      <c r="J37" s="113" t="s">
        <v>5610</v>
      </c>
      <c r="K37" s="250" t="s">
        <v>5611</v>
      </c>
      <c r="L37" s="113" t="s">
        <v>5513</v>
      </c>
      <c r="M37" s="113"/>
      <c r="N37" s="113" t="s">
        <v>37</v>
      </c>
      <c r="O37" s="113"/>
      <c r="P37" s="113"/>
      <c r="Q37" s="113"/>
    </row>
    <row r="38" hidden="1">
      <c r="A38" s="249">
        <v>10039.0</v>
      </c>
      <c r="B38" s="261" t="s">
        <v>5612</v>
      </c>
      <c r="C38" s="113" t="str">
        <f>IFERROR(__xludf.DUMMYFUNCTION("GOOGLETRANSLATE(B38)"),"The Government approves the long -term decarbonization strategy, which marks the path to achieve climate neutrality at 2050")</f>
        <v>The Government approves the long -term decarbonization strategy, which marks the path to achieve climate neutrality at 2050</v>
      </c>
      <c r="D38" s="113" t="s">
        <v>5287</v>
      </c>
      <c r="E38" s="113" t="s">
        <v>5288</v>
      </c>
      <c r="F38" s="113" t="s">
        <v>144</v>
      </c>
      <c r="G38" s="249"/>
      <c r="H38" s="249">
        <v>2020.0</v>
      </c>
      <c r="I38" s="248" t="s">
        <v>924</v>
      </c>
      <c r="J38" s="113" t="s">
        <v>5613</v>
      </c>
      <c r="K38" s="250" t="s">
        <v>5614</v>
      </c>
      <c r="L38" s="113" t="s">
        <v>5513</v>
      </c>
      <c r="M38" s="113"/>
      <c r="N38" s="252" t="s">
        <v>92</v>
      </c>
      <c r="O38" s="113"/>
      <c r="P38" s="113"/>
      <c r="Q38" s="113"/>
    </row>
    <row r="39" hidden="1">
      <c r="A39" s="249">
        <v>10144.0</v>
      </c>
      <c r="B39" s="247" t="s">
        <v>5615</v>
      </c>
      <c r="C39" s="113" t="str">
        <f>IFERROR(__xludf.DUMMYFUNCTION("GOOGLETRANSLATE(B39)"),"NATIONAL ACTION FRAMEWORK FOR ALTERNATIVE ENERGY IN TRANSPORT")</f>
        <v>NATIONAL ACTION FRAMEWORK FOR ALTERNATIVE ENERGY IN TRANSPORT</v>
      </c>
      <c r="D39" s="113" t="s">
        <v>5287</v>
      </c>
      <c r="E39" s="113" t="s">
        <v>5288</v>
      </c>
      <c r="F39" s="113" t="s">
        <v>259</v>
      </c>
      <c r="G39" s="249"/>
      <c r="H39" s="249">
        <v>2016.0</v>
      </c>
      <c r="I39" s="248" t="s">
        <v>24</v>
      </c>
      <c r="J39" s="113" t="s">
        <v>5616</v>
      </c>
      <c r="K39" s="250" t="s">
        <v>5617</v>
      </c>
      <c r="L39" s="113" t="s">
        <v>5513</v>
      </c>
      <c r="M39" s="113"/>
      <c r="N39" s="113" t="s">
        <v>23</v>
      </c>
      <c r="O39" s="113"/>
      <c r="P39" s="113"/>
      <c r="Q39" s="113"/>
    </row>
    <row r="40" hidden="1">
      <c r="A40" s="249">
        <v>10144.0</v>
      </c>
      <c r="B40" s="247" t="s">
        <v>5618</v>
      </c>
      <c r="C40" s="113" t="str">
        <f>IFERROR(__xludf.DUMMYFUNCTION("GOOGLETRANSLATE(B40)"),"Vehicle impulse strategy with alternative energy (SEE) in Spain (2014-2020)")</f>
        <v>Vehicle impulse strategy with alternative energy (SEE) in Spain (2014-2020)</v>
      </c>
      <c r="D40" s="113" t="s">
        <v>5287</v>
      </c>
      <c r="E40" s="113" t="s">
        <v>5288</v>
      </c>
      <c r="F40" s="113" t="s">
        <v>144</v>
      </c>
      <c r="G40" s="249"/>
      <c r="H40" s="249">
        <v>2014.0</v>
      </c>
      <c r="I40" s="248" t="s">
        <v>924</v>
      </c>
      <c r="J40" s="113" t="s">
        <v>5619</v>
      </c>
      <c r="K40" s="250" t="s">
        <v>5620</v>
      </c>
      <c r="L40" s="113" t="s">
        <v>5513</v>
      </c>
      <c r="M40" s="113"/>
      <c r="N40" s="113" t="s">
        <v>23</v>
      </c>
      <c r="O40" s="113"/>
      <c r="P40" s="113"/>
      <c r="Q40" s="113"/>
    </row>
    <row r="41" hidden="1">
      <c r="A41" s="249">
        <v>10512.0</v>
      </c>
      <c r="B41" s="259" t="s">
        <v>5621</v>
      </c>
      <c r="C41" s="113" t="str">
        <f>IFERROR(__xludf.DUMMYFUNCTION("GOOGLETRANSLATE(B41)"),"Laying the Foundations for Recovery: Spain")</f>
        <v>Laying the Foundations for Recovery: Spain</v>
      </c>
      <c r="D41" s="113" t="s">
        <v>5287</v>
      </c>
      <c r="E41" s="113" t="s">
        <v>5288</v>
      </c>
      <c r="F41" s="248" t="s">
        <v>234</v>
      </c>
      <c r="G41" s="248"/>
      <c r="H41" s="248">
        <v>2021.0</v>
      </c>
      <c r="I41" s="248" t="s">
        <v>24</v>
      </c>
      <c r="J41" s="113" t="s">
        <v>5622</v>
      </c>
      <c r="K41" s="250" t="s">
        <v>5623</v>
      </c>
      <c r="L41" s="113" t="s">
        <v>5513</v>
      </c>
      <c r="M41" s="113"/>
      <c r="N41" s="113" t="s">
        <v>23</v>
      </c>
      <c r="O41" s="113"/>
      <c r="P41" s="113"/>
      <c r="Q41" s="113"/>
    </row>
    <row r="42" hidden="1">
      <c r="A42" s="249">
        <v>10512.0</v>
      </c>
      <c r="B42" s="259" t="s">
        <v>5624</v>
      </c>
      <c r="C42" s="113" t="str">
        <f>IFERROR(__xludf.DUMMYFUNCTION("GOOGLETRANSLATE(B42)"),"COUNCIL IMPLEMENTING DECISION on the approval of the assessment of the recovery and resilience plan for Spain")</f>
        <v>COUNCIL IMPLEMENTING DECISION on the approval of the assessment of the recovery and resilience plan for Spain</v>
      </c>
      <c r="D42" s="113" t="s">
        <v>5287</v>
      </c>
      <c r="E42" s="113" t="s">
        <v>5288</v>
      </c>
      <c r="F42" s="248" t="s">
        <v>247</v>
      </c>
      <c r="G42" s="248"/>
      <c r="H42" s="248">
        <v>2021.0</v>
      </c>
      <c r="I42" s="248" t="s">
        <v>24</v>
      </c>
      <c r="J42" s="113" t="s">
        <v>5625</v>
      </c>
      <c r="K42" s="250" t="s">
        <v>5626</v>
      </c>
      <c r="L42" s="113" t="s">
        <v>5513</v>
      </c>
      <c r="M42" s="113"/>
      <c r="N42" s="113" t="s">
        <v>23</v>
      </c>
      <c r="O42" s="113"/>
      <c r="P42" s="113"/>
      <c r="Q42" s="113"/>
    </row>
    <row r="43" hidden="1">
      <c r="A43" s="249">
        <v>10512.0</v>
      </c>
      <c r="B43" s="259" t="s">
        <v>5627</v>
      </c>
      <c r="C43" s="113" t="str">
        <f>IFERROR(__xludf.DUMMYFUNCTION("GOOGLETRANSLATE(B43)"),"REVISED ANNEX to the Council Implementing Decision on the approval of the assessment of the recovery and resilience plan for Spain")</f>
        <v>REVISED ANNEX to the Council Implementing Decision on the approval of the assessment of the recovery and resilience plan for Spain</v>
      </c>
      <c r="D43" s="113" t="s">
        <v>5287</v>
      </c>
      <c r="E43" s="113" t="s">
        <v>5288</v>
      </c>
      <c r="F43" s="248" t="s">
        <v>247</v>
      </c>
      <c r="G43" s="248"/>
      <c r="H43" s="248">
        <v>2021.0</v>
      </c>
      <c r="I43" s="248" t="s">
        <v>24</v>
      </c>
      <c r="J43" s="113" t="s">
        <v>5628</v>
      </c>
      <c r="K43" s="250" t="s">
        <v>5629</v>
      </c>
      <c r="L43" s="113" t="s">
        <v>5513</v>
      </c>
      <c r="M43" s="113"/>
      <c r="N43" s="113" t="s">
        <v>23</v>
      </c>
      <c r="O43" s="113"/>
      <c r="P43" s="113"/>
      <c r="Q43" s="113"/>
    </row>
    <row r="44" hidden="1">
      <c r="A44" s="249">
        <v>10512.0</v>
      </c>
      <c r="B44" s="262" t="s">
        <v>5630</v>
      </c>
      <c r="C44" s="113" t="str">
        <f>IFERROR(__xludf.DUMMYFUNCTION("GOOGLETRANSLATE(B44)"),"Recovery, transformation and resilience")</f>
        <v>Recovery, transformation and resilience</v>
      </c>
      <c r="D44" s="113" t="s">
        <v>5287</v>
      </c>
      <c r="E44" s="113" t="s">
        <v>5288</v>
      </c>
      <c r="F44" s="248" t="s">
        <v>234</v>
      </c>
      <c r="G44" s="248"/>
      <c r="H44" s="248">
        <v>2021.0</v>
      </c>
      <c r="I44" s="248" t="s">
        <v>924</v>
      </c>
      <c r="J44" s="113" t="s">
        <v>5631</v>
      </c>
      <c r="K44" s="250" t="s">
        <v>5632</v>
      </c>
      <c r="L44" s="113" t="s">
        <v>5513</v>
      </c>
      <c r="M44" s="113"/>
      <c r="N44" s="252" t="s">
        <v>326</v>
      </c>
      <c r="O44" s="113"/>
      <c r="P44" s="113"/>
      <c r="Q44" s="113"/>
    </row>
    <row r="45" hidden="1">
      <c r="A45" s="263">
        <v>10512.0</v>
      </c>
      <c r="B45" s="264" t="s">
        <v>5633</v>
      </c>
      <c r="C45" s="265" t="s">
        <v>5633</v>
      </c>
      <c r="D45" s="266" t="s">
        <v>5287</v>
      </c>
      <c r="E45" s="266" t="s">
        <v>5288</v>
      </c>
      <c r="F45" s="267" t="s">
        <v>234</v>
      </c>
      <c r="G45" s="267"/>
      <c r="H45" s="267">
        <v>2021.0</v>
      </c>
      <c r="I45" s="267" t="s">
        <v>24</v>
      </c>
      <c r="J45" s="266" t="s">
        <v>5634</v>
      </c>
      <c r="K45" s="268" t="s">
        <v>5635</v>
      </c>
      <c r="L45" s="266" t="s">
        <v>5513</v>
      </c>
      <c r="M45" s="266"/>
      <c r="N45" s="269" t="s">
        <v>92</v>
      </c>
      <c r="O45" s="267" t="s">
        <v>5636</v>
      </c>
      <c r="P45" s="266"/>
      <c r="Q45" s="266"/>
      <c r="R45" s="143"/>
      <c r="S45" s="143"/>
      <c r="T45" s="143"/>
      <c r="U45" s="143"/>
      <c r="V45" s="143"/>
      <c r="W45" s="143"/>
      <c r="X45" s="143"/>
      <c r="Y45" s="143"/>
      <c r="Z45" s="143"/>
      <c r="AA45" s="143"/>
      <c r="AB45" s="143"/>
    </row>
    <row r="46" hidden="1">
      <c r="A46" s="253">
        <v>4815.0</v>
      </c>
      <c r="B46" s="270" t="s">
        <v>5637</v>
      </c>
      <c r="C46" s="255"/>
      <c r="D46" s="255" t="s">
        <v>5638</v>
      </c>
      <c r="E46" s="255" t="s">
        <v>5639</v>
      </c>
      <c r="F46" s="256" t="s">
        <v>144</v>
      </c>
      <c r="G46" s="256"/>
      <c r="H46" s="256">
        <v>2008.0</v>
      </c>
      <c r="I46" s="256" t="s">
        <v>24</v>
      </c>
      <c r="J46" s="255" t="s">
        <v>5640</v>
      </c>
      <c r="K46" s="257" t="s">
        <v>5641</v>
      </c>
      <c r="L46" s="255" t="s">
        <v>5513</v>
      </c>
      <c r="M46" s="255"/>
      <c r="N46" s="255" t="s">
        <v>23</v>
      </c>
      <c r="O46" s="256" t="s">
        <v>5642</v>
      </c>
      <c r="P46" s="255"/>
      <c r="Q46" s="255"/>
      <c r="R46" s="3"/>
      <c r="S46" s="3"/>
      <c r="T46" s="3"/>
      <c r="U46" s="3"/>
      <c r="V46" s="3"/>
      <c r="W46" s="3"/>
      <c r="X46" s="3"/>
      <c r="Y46" s="3"/>
      <c r="Z46" s="3"/>
      <c r="AA46" s="3"/>
      <c r="AB46" s="3"/>
    </row>
    <row r="47" hidden="1">
      <c r="A47" s="253">
        <v>4815.0</v>
      </c>
      <c r="B47" s="270" t="s">
        <v>5643</v>
      </c>
      <c r="C47" s="9" t="s">
        <v>5643</v>
      </c>
      <c r="D47" s="255" t="s">
        <v>5638</v>
      </c>
      <c r="E47" s="255" t="s">
        <v>5639</v>
      </c>
      <c r="F47" s="256" t="s">
        <v>144</v>
      </c>
      <c r="G47" s="256"/>
      <c r="H47" s="256">
        <v>2019.0</v>
      </c>
      <c r="I47" s="256" t="s">
        <v>24</v>
      </c>
      <c r="J47" s="255" t="s">
        <v>5644</v>
      </c>
      <c r="K47" s="257" t="s">
        <v>5645</v>
      </c>
      <c r="L47" s="255" t="s">
        <v>5513</v>
      </c>
      <c r="M47" s="255"/>
      <c r="N47" s="255" t="s">
        <v>23</v>
      </c>
      <c r="O47" s="255"/>
      <c r="P47" s="255"/>
      <c r="Q47" s="255"/>
      <c r="R47" s="3"/>
      <c r="S47" s="3"/>
      <c r="T47" s="3"/>
      <c r="U47" s="3"/>
      <c r="V47" s="3"/>
      <c r="W47" s="3"/>
      <c r="X47" s="3"/>
      <c r="Y47" s="3"/>
      <c r="Z47" s="3"/>
      <c r="AA47" s="3"/>
      <c r="AB47" s="3"/>
    </row>
    <row r="48" hidden="1">
      <c r="A48" s="249">
        <v>9653.0</v>
      </c>
      <c r="B48" s="271" t="s">
        <v>5646</v>
      </c>
      <c r="C48" s="113" t="str">
        <f>IFERROR(__xludf.DUMMYFUNCTION("GOOGLETRANSLATE(B48)"),"Coast Conservation Act")</f>
        <v>Coast Conservation Act</v>
      </c>
      <c r="D48" s="113" t="s">
        <v>5638</v>
      </c>
      <c r="E48" s="113" t="s">
        <v>5639</v>
      </c>
      <c r="F48" s="248" t="s">
        <v>45</v>
      </c>
      <c r="G48" s="248"/>
      <c r="H48" s="248">
        <v>1981.0</v>
      </c>
      <c r="I48" s="248" t="s">
        <v>24</v>
      </c>
      <c r="J48" s="113" t="s">
        <v>5647</v>
      </c>
      <c r="K48" s="250" t="s">
        <v>5648</v>
      </c>
      <c r="L48" s="113" t="s">
        <v>5513</v>
      </c>
      <c r="M48" s="113"/>
      <c r="N48" s="252" t="s">
        <v>4343</v>
      </c>
      <c r="O48" s="113"/>
      <c r="P48" s="113"/>
      <c r="Q48" s="113"/>
    </row>
    <row r="49" hidden="1">
      <c r="A49" s="249">
        <v>9653.0</v>
      </c>
      <c r="B49" s="259" t="s">
        <v>5646</v>
      </c>
      <c r="C49" s="113" t="str">
        <f>IFERROR(__xludf.DUMMYFUNCTION("GOOGLETRANSLATE(B49)"),"Coast Conservation Act")</f>
        <v>Coast Conservation Act</v>
      </c>
      <c r="D49" s="113" t="s">
        <v>5638</v>
      </c>
      <c r="E49" s="113" t="s">
        <v>5639</v>
      </c>
      <c r="F49" s="248" t="s">
        <v>45</v>
      </c>
      <c r="G49" s="248"/>
      <c r="H49" s="248">
        <v>2011.0</v>
      </c>
      <c r="I49" s="248" t="s">
        <v>24</v>
      </c>
      <c r="J49" s="113" t="s">
        <v>5649</v>
      </c>
      <c r="K49" s="250" t="s">
        <v>5650</v>
      </c>
      <c r="L49" s="113" t="s">
        <v>5513</v>
      </c>
      <c r="M49" s="113"/>
      <c r="N49" s="113" t="s">
        <v>23</v>
      </c>
      <c r="O49" s="113"/>
      <c r="P49" s="113"/>
      <c r="Q49" s="113"/>
    </row>
    <row r="50" hidden="1">
      <c r="A50" s="263">
        <v>8523.0</v>
      </c>
      <c r="B50" s="272"/>
      <c r="C50" s="113" t="str">
        <f>IFERROR(__xludf.DUMMYFUNCTION("GOOGLETRANSLATE(B50)"),"#VALUE!")</f>
        <v>#VALUE!</v>
      </c>
      <c r="D50" s="266" t="s">
        <v>5651</v>
      </c>
      <c r="E50" s="266" t="s">
        <v>5652</v>
      </c>
      <c r="F50" s="266"/>
      <c r="G50" s="266"/>
      <c r="H50" s="266"/>
      <c r="I50" s="266"/>
      <c r="J50" s="266" t="s">
        <v>5653</v>
      </c>
      <c r="K50" s="268" t="s">
        <v>5654</v>
      </c>
      <c r="L50" s="266" t="s">
        <v>5513</v>
      </c>
      <c r="M50" s="266"/>
      <c r="N50" s="269" t="s">
        <v>326</v>
      </c>
      <c r="O50" s="267" t="s">
        <v>5655</v>
      </c>
      <c r="P50" s="266"/>
      <c r="Q50" s="266"/>
      <c r="R50" s="143"/>
      <c r="S50" s="143"/>
      <c r="T50" s="143"/>
      <c r="U50" s="143"/>
      <c r="V50" s="143"/>
      <c r="W50" s="143"/>
      <c r="X50" s="143"/>
      <c r="Y50" s="143"/>
      <c r="Z50" s="143"/>
      <c r="AA50" s="143"/>
      <c r="AB50" s="143"/>
    </row>
    <row r="51" hidden="1">
      <c r="A51" s="249">
        <v>8523.0</v>
      </c>
      <c r="B51" s="259" t="s">
        <v>5656</v>
      </c>
      <c r="C51" s="248" t="s">
        <v>3516</v>
      </c>
      <c r="D51" s="113" t="s">
        <v>5651</v>
      </c>
      <c r="E51" s="113" t="s">
        <v>5652</v>
      </c>
      <c r="F51" s="248" t="s">
        <v>45</v>
      </c>
      <c r="G51" s="248"/>
      <c r="H51" s="248">
        <v>2016.0</v>
      </c>
      <c r="I51" s="248" t="s">
        <v>3152</v>
      </c>
      <c r="J51" s="113" t="s">
        <v>5657</v>
      </c>
      <c r="K51" s="250" t="s">
        <v>5658</v>
      </c>
      <c r="L51" s="113" t="s">
        <v>5513</v>
      </c>
      <c r="M51" s="113"/>
      <c r="N51" s="113" t="s">
        <v>23</v>
      </c>
      <c r="O51" s="113"/>
      <c r="P51" s="113"/>
      <c r="Q51" s="113"/>
    </row>
    <row r="52" hidden="1">
      <c r="A52" s="249">
        <v>1680.0</v>
      </c>
      <c r="B52" s="259" t="s">
        <v>5659</v>
      </c>
      <c r="C52" s="113" t="str">
        <f>IFERROR(__xludf.DUMMYFUNCTION("GOOGLETRANSLATE(B52)"),"Law (2011: 1200) on electricity certificates")</f>
        <v>Law (2011: 1200) on electricity certificates</v>
      </c>
      <c r="D52" s="113" t="s">
        <v>5660</v>
      </c>
      <c r="E52" s="113" t="s">
        <v>5661</v>
      </c>
      <c r="F52" s="248" t="s">
        <v>41</v>
      </c>
      <c r="G52" s="248"/>
      <c r="H52" s="248">
        <v>2011.0</v>
      </c>
      <c r="I52" s="248" t="s">
        <v>5662</v>
      </c>
      <c r="J52" s="113" t="s">
        <v>5663</v>
      </c>
      <c r="K52" s="250" t="s">
        <v>5664</v>
      </c>
      <c r="L52" s="113" t="s">
        <v>5513</v>
      </c>
      <c r="M52" s="113"/>
      <c r="N52" s="113" t="s">
        <v>23</v>
      </c>
      <c r="O52" s="113"/>
      <c r="P52" s="113"/>
      <c r="Q52" s="113"/>
    </row>
    <row r="53" hidden="1">
      <c r="A53" s="249">
        <v>1680.0</v>
      </c>
      <c r="B53" s="259" t="s">
        <v>5665</v>
      </c>
      <c r="C53" s="113" t="str">
        <f>IFERROR(__xludf.DUMMYFUNCTION("GOOGLETRANSLATE(B53)"),"Regulation (2011: 1480) on electricity certificates")</f>
        <v>Regulation (2011: 1480) on electricity certificates</v>
      </c>
      <c r="D53" s="113" t="s">
        <v>5660</v>
      </c>
      <c r="E53" s="113" t="s">
        <v>5661</v>
      </c>
      <c r="F53" s="248" t="s">
        <v>708</v>
      </c>
      <c r="G53" s="248"/>
      <c r="H53" s="248">
        <v>2011.0</v>
      </c>
      <c r="I53" s="248" t="s">
        <v>5662</v>
      </c>
      <c r="J53" s="113" t="s">
        <v>5666</v>
      </c>
      <c r="K53" s="250" t="s">
        <v>5667</v>
      </c>
      <c r="L53" s="113" t="s">
        <v>5513</v>
      </c>
      <c r="M53" s="113"/>
      <c r="N53" s="113" t="s">
        <v>23</v>
      </c>
      <c r="O53" s="113"/>
      <c r="P53" s="113"/>
      <c r="Q53" s="113"/>
    </row>
    <row r="54" hidden="1">
      <c r="A54" s="249">
        <v>1683.0</v>
      </c>
      <c r="B54" s="271" t="s">
        <v>5668</v>
      </c>
      <c r="C54" s="113" t="str">
        <f>IFERROR(__xludf.DUMMYFUNCTION("GOOGLETRANSLATE(B54)"),"Planning and Building Act (2010: 900)")</f>
        <v>Planning and Building Act (2010: 900)</v>
      </c>
      <c r="D54" s="113" t="s">
        <v>5660</v>
      </c>
      <c r="E54" s="113" t="s">
        <v>5661</v>
      </c>
      <c r="F54" s="248" t="s">
        <v>45</v>
      </c>
      <c r="G54" s="248"/>
      <c r="H54" s="248">
        <v>2010.0</v>
      </c>
      <c r="I54" s="248" t="s">
        <v>5662</v>
      </c>
      <c r="J54" s="113" t="s">
        <v>5669</v>
      </c>
      <c r="K54" s="250" t="s">
        <v>5670</v>
      </c>
      <c r="L54" s="113" t="s">
        <v>5513</v>
      </c>
      <c r="M54" s="113"/>
      <c r="N54" s="113" t="s">
        <v>23</v>
      </c>
      <c r="O54" s="113"/>
      <c r="P54" s="113"/>
      <c r="Q54" s="113"/>
    </row>
    <row r="55" hidden="1">
      <c r="A55" s="253">
        <v>1683.0</v>
      </c>
      <c r="B55" s="273" t="s">
        <v>5671</v>
      </c>
      <c r="C55" s="113" t="str">
        <f>IFERROR(__xludf.DUMMYFUNCTION("GOOGLETRANSLATE(B55)"),"Planning and Building Act (2010:900)")</f>
        <v>Planning and Building Act (2010:900)</v>
      </c>
      <c r="D55" s="255" t="s">
        <v>5660</v>
      </c>
      <c r="E55" s="255" t="s">
        <v>5661</v>
      </c>
      <c r="F55" s="256" t="s">
        <v>45</v>
      </c>
      <c r="G55" s="256"/>
      <c r="H55" s="256">
        <v>2010.0</v>
      </c>
      <c r="I55" s="256" t="s">
        <v>24</v>
      </c>
      <c r="J55" s="255" t="s">
        <v>5672</v>
      </c>
      <c r="K55" s="257" t="s">
        <v>5673</v>
      </c>
      <c r="L55" s="255" t="s">
        <v>5513</v>
      </c>
      <c r="M55" s="255"/>
      <c r="N55" s="255" t="s">
        <v>23</v>
      </c>
      <c r="O55" s="256" t="s">
        <v>5674</v>
      </c>
      <c r="P55" s="255"/>
      <c r="Q55" s="255"/>
      <c r="R55" s="3"/>
      <c r="S55" s="3"/>
      <c r="T55" s="3"/>
      <c r="U55" s="3"/>
      <c r="V55" s="3"/>
      <c r="W55" s="3"/>
      <c r="X55" s="3"/>
      <c r="Y55" s="3"/>
      <c r="Z55" s="3"/>
      <c r="AA55" s="3"/>
      <c r="AB55" s="3"/>
    </row>
    <row r="56" hidden="1">
      <c r="A56" s="249">
        <v>8273.0</v>
      </c>
      <c r="B56" s="271" t="s">
        <v>5675</v>
      </c>
      <c r="C56" s="113" t="str">
        <f>IFERROR(__xludf.DUMMYFUNCTION("GOOGLETRANSLATE(B56)"),"Climate Act (2017: 720)")</f>
        <v>Climate Act (2017: 720)</v>
      </c>
      <c r="D56" s="113" t="s">
        <v>5660</v>
      </c>
      <c r="E56" s="113" t="s">
        <v>5661</v>
      </c>
      <c r="F56" s="248" t="s">
        <v>5676</v>
      </c>
      <c r="G56" s="248"/>
      <c r="H56" s="248">
        <v>2017.0</v>
      </c>
      <c r="I56" s="248" t="s">
        <v>5662</v>
      </c>
      <c r="J56" s="113" t="s">
        <v>5677</v>
      </c>
      <c r="K56" s="250" t="s">
        <v>5678</v>
      </c>
      <c r="L56" s="113" t="s">
        <v>5513</v>
      </c>
      <c r="M56" s="113"/>
      <c r="N56" s="113" t="s">
        <v>23</v>
      </c>
      <c r="O56" s="113"/>
      <c r="P56" s="113"/>
      <c r="Q56" s="113"/>
    </row>
    <row r="57" hidden="1">
      <c r="A57" s="253">
        <v>8273.0</v>
      </c>
      <c r="B57" s="273" t="s">
        <v>5679</v>
      </c>
      <c r="C57" s="113" t="str">
        <f>IFERROR(__xludf.DUMMYFUNCTION("GOOGLETRANSLATE(B57)"),"The Swedish Climate Act")</f>
        <v>The Swedish Climate Act</v>
      </c>
      <c r="D57" s="255" t="s">
        <v>5660</v>
      </c>
      <c r="E57" s="255" t="s">
        <v>5661</v>
      </c>
      <c r="F57" s="256" t="s">
        <v>45</v>
      </c>
      <c r="G57" s="255"/>
      <c r="H57" s="255"/>
      <c r="I57" s="256" t="s">
        <v>5662</v>
      </c>
      <c r="J57" s="257" t="s">
        <v>5680</v>
      </c>
      <c r="K57" s="257" t="s">
        <v>5681</v>
      </c>
      <c r="L57" s="255" t="s">
        <v>5513</v>
      </c>
      <c r="M57" s="255"/>
      <c r="N57" s="255" t="s">
        <v>23</v>
      </c>
      <c r="O57" s="256" t="s">
        <v>5682</v>
      </c>
      <c r="P57" s="255"/>
      <c r="Q57" s="255"/>
      <c r="R57" s="3"/>
      <c r="S57" s="3"/>
      <c r="T57" s="3"/>
      <c r="U57" s="3"/>
      <c r="V57" s="3"/>
      <c r="W57" s="3"/>
      <c r="X57" s="3"/>
      <c r="Y57" s="3"/>
      <c r="Z57" s="3"/>
      <c r="AA57" s="3"/>
      <c r="AB57" s="3"/>
    </row>
    <row r="58" hidden="1">
      <c r="A58" s="249">
        <v>8752.0</v>
      </c>
      <c r="B58" s="259" t="s">
        <v>5683</v>
      </c>
      <c r="C58" s="113" t="str">
        <f>IFERROR(__xludf.DUMMYFUNCTION("GOOGLETRANSLATE(B58)"),"The Swedish Climate Policy Framework")</f>
        <v>The Swedish Climate Policy Framework</v>
      </c>
      <c r="D58" s="113" t="s">
        <v>5660</v>
      </c>
      <c r="E58" s="113" t="s">
        <v>5661</v>
      </c>
      <c r="F58" s="248" t="s">
        <v>259</v>
      </c>
      <c r="G58" s="248"/>
      <c r="H58" s="248">
        <v>2017.0</v>
      </c>
      <c r="I58" s="248" t="s">
        <v>24</v>
      </c>
      <c r="J58" s="113" t="s">
        <v>5684</v>
      </c>
      <c r="K58" s="250" t="s">
        <v>5685</v>
      </c>
      <c r="L58" s="113" t="s">
        <v>5513</v>
      </c>
      <c r="M58" s="113"/>
      <c r="N58" s="113" t="s">
        <v>23</v>
      </c>
      <c r="O58" s="113"/>
      <c r="P58" s="113"/>
      <c r="Q58" s="113"/>
    </row>
    <row r="59" hidden="1">
      <c r="A59" s="253">
        <v>8752.0</v>
      </c>
      <c r="B59" s="273" t="s">
        <v>5683</v>
      </c>
      <c r="C59" s="113" t="str">
        <f>IFERROR(__xludf.DUMMYFUNCTION("GOOGLETRANSLATE(B59)"),"The Swedish Climate Policy Framework")</f>
        <v>The Swedish Climate Policy Framework</v>
      </c>
      <c r="D59" s="255" t="s">
        <v>5660</v>
      </c>
      <c r="E59" s="255" t="s">
        <v>5661</v>
      </c>
      <c r="F59" s="256" t="s">
        <v>259</v>
      </c>
      <c r="G59" s="256"/>
      <c r="H59" s="256">
        <v>2017.0</v>
      </c>
      <c r="I59" s="256" t="s">
        <v>24</v>
      </c>
      <c r="J59" s="255" t="s">
        <v>5686</v>
      </c>
      <c r="K59" s="257" t="s">
        <v>5687</v>
      </c>
      <c r="L59" s="255" t="s">
        <v>5513</v>
      </c>
      <c r="M59" s="255"/>
      <c r="N59" s="260" t="s">
        <v>92</v>
      </c>
      <c r="O59" s="256" t="s">
        <v>5688</v>
      </c>
      <c r="P59" s="255"/>
      <c r="Q59" s="255"/>
      <c r="R59" s="3"/>
      <c r="S59" s="3"/>
      <c r="T59" s="3"/>
      <c r="U59" s="3"/>
      <c r="V59" s="3"/>
      <c r="W59" s="3"/>
      <c r="X59" s="3"/>
      <c r="Y59" s="3"/>
      <c r="Z59" s="3"/>
      <c r="AA59" s="3"/>
      <c r="AB59" s="3"/>
    </row>
    <row r="60" hidden="1">
      <c r="A60" s="253">
        <v>8763.0</v>
      </c>
      <c r="B60" s="254"/>
      <c r="C60" s="113" t="str">
        <f>IFERROR(__xludf.DUMMYFUNCTION("GOOGLETRANSLATE(B60)"),"#VALUE!")</f>
        <v>#VALUE!</v>
      </c>
      <c r="D60" s="255" t="s">
        <v>5660</v>
      </c>
      <c r="E60" s="255" t="s">
        <v>5661</v>
      </c>
      <c r="F60" s="255"/>
      <c r="G60" s="256"/>
      <c r="H60" s="256">
        <v>2017.0</v>
      </c>
      <c r="I60" s="256" t="s">
        <v>5662</v>
      </c>
      <c r="J60" s="255" t="s">
        <v>5689</v>
      </c>
      <c r="K60" s="257" t="s">
        <v>5690</v>
      </c>
      <c r="L60" s="255" t="s">
        <v>5513</v>
      </c>
      <c r="M60" s="255"/>
      <c r="N60" s="255" t="s">
        <v>23</v>
      </c>
      <c r="O60" s="256" t="s">
        <v>5691</v>
      </c>
      <c r="P60" s="255"/>
      <c r="Q60" s="255"/>
      <c r="R60" s="3"/>
      <c r="S60" s="3"/>
      <c r="T60" s="3"/>
      <c r="U60" s="3"/>
      <c r="V60" s="3"/>
      <c r="W60" s="3"/>
      <c r="X60" s="3"/>
      <c r="Y60" s="3"/>
      <c r="Z60" s="3"/>
      <c r="AA60" s="3"/>
      <c r="AB60" s="3"/>
    </row>
    <row r="61" hidden="1">
      <c r="A61" s="249">
        <v>8763.0</v>
      </c>
      <c r="B61" s="274" t="s">
        <v>5692</v>
      </c>
      <c r="C61" s="113" t="str">
        <f>IFERROR(__xludf.DUMMYFUNCTION("GOOGLETRANSLATE(B61)"),"National Strategy for Climate Adaptation")</f>
        <v>National Strategy for Climate Adaptation</v>
      </c>
      <c r="D61" s="113" t="s">
        <v>5660</v>
      </c>
      <c r="E61" s="113" t="s">
        <v>5661</v>
      </c>
      <c r="F61" s="248" t="s">
        <v>144</v>
      </c>
      <c r="G61" s="248"/>
      <c r="H61" s="248">
        <v>2017.0</v>
      </c>
      <c r="I61" s="248" t="s">
        <v>5662</v>
      </c>
      <c r="J61" s="113" t="s">
        <v>5693</v>
      </c>
      <c r="K61" s="250" t="s">
        <v>5694</v>
      </c>
      <c r="L61" s="113" t="s">
        <v>5513</v>
      </c>
      <c r="M61" s="113"/>
      <c r="N61" s="252" t="s">
        <v>92</v>
      </c>
      <c r="O61" s="113"/>
      <c r="P61" s="113"/>
      <c r="Q61" s="113"/>
    </row>
    <row r="62" hidden="1">
      <c r="A62" s="249">
        <v>9518.0</v>
      </c>
      <c r="B62" s="271" t="s">
        <v>5695</v>
      </c>
      <c r="C62" s="113" t="str">
        <f>IFERROR(__xludf.DUMMYFUNCTION("GOOGLETRANSLATE(B62)"),"Sweden’s Integrated National Energy and Climate Plan")</f>
        <v>Sweden’s Integrated National Energy and Climate Plan</v>
      </c>
      <c r="D62" s="113" t="s">
        <v>5660</v>
      </c>
      <c r="E62" s="113" t="s">
        <v>5661</v>
      </c>
      <c r="F62" s="248" t="s">
        <v>234</v>
      </c>
      <c r="G62" s="248"/>
      <c r="H62" s="248">
        <v>2020.0</v>
      </c>
      <c r="I62" s="248" t="s">
        <v>24</v>
      </c>
      <c r="J62" s="113" t="s">
        <v>5696</v>
      </c>
      <c r="K62" s="250" t="s">
        <v>5697</v>
      </c>
      <c r="L62" s="113" t="s">
        <v>5513</v>
      </c>
      <c r="M62" s="113"/>
      <c r="N62" s="113" t="s">
        <v>23</v>
      </c>
      <c r="O62" s="113"/>
      <c r="P62" s="113"/>
      <c r="Q62" s="113"/>
    </row>
    <row r="63" hidden="1">
      <c r="A63" s="249">
        <v>9518.0</v>
      </c>
      <c r="B63" s="271" t="s">
        <v>5698</v>
      </c>
      <c r="C63" s="1" t="str">
        <f>IFERROR(__xludf.DUMMYFUNCTION("GOOGLETRANSLATE(B63)"),"Sweden's integrated national energy and climate plan")</f>
        <v>Sweden's integrated national energy and climate plan</v>
      </c>
      <c r="D63" s="113" t="s">
        <v>5660</v>
      </c>
      <c r="E63" s="113" t="s">
        <v>5661</v>
      </c>
      <c r="F63" s="248" t="s">
        <v>234</v>
      </c>
      <c r="G63" s="248"/>
      <c r="H63" s="248">
        <v>2020.0</v>
      </c>
      <c r="I63" s="248" t="s">
        <v>5662</v>
      </c>
      <c r="J63" s="113" t="s">
        <v>5699</v>
      </c>
      <c r="K63" s="250" t="s">
        <v>5700</v>
      </c>
      <c r="L63" s="113" t="s">
        <v>5513</v>
      </c>
      <c r="M63" s="113"/>
      <c r="N63" s="113" t="s">
        <v>23</v>
      </c>
      <c r="O63" s="113"/>
      <c r="P63" s="113"/>
      <c r="Q63" s="113"/>
    </row>
    <row r="64" hidden="1">
      <c r="A64" s="249">
        <v>10125.0</v>
      </c>
      <c r="B64" s="275" t="s">
        <v>5701</v>
      </c>
      <c r="C64" s="1" t="str">
        <f>IFERROR(__xludf.DUMMYFUNCTION("GOOGLETRANSLATE(B64)"),"Regulation (2017: 1319) on state aid to measures that contribute to industry climate change")</f>
        <v>Regulation (2017: 1319) on state aid to measures that contribute to industry climate change</v>
      </c>
      <c r="D64" s="113" t="s">
        <v>5660</v>
      </c>
      <c r="E64" s="113" t="s">
        <v>5661</v>
      </c>
      <c r="F64" s="248" t="s">
        <v>708</v>
      </c>
      <c r="G64" s="248"/>
      <c r="H64" s="248">
        <v>2017.0</v>
      </c>
      <c r="I64" s="248" t="s">
        <v>5662</v>
      </c>
      <c r="J64" s="113" t="s">
        <v>5702</v>
      </c>
      <c r="K64" s="250" t="s">
        <v>5703</v>
      </c>
      <c r="L64" s="113" t="s">
        <v>5513</v>
      </c>
      <c r="M64" s="113"/>
      <c r="N64" s="252" t="s">
        <v>92</v>
      </c>
      <c r="O64" s="113"/>
      <c r="P64" s="113"/>
      <c r="Q64" s="113"/>
    </row>
    <row r="65">
      <c r="A65" s="253">
        <v>10125.0</v>
      </c>
      <c r="B65" s="276" t="s">
        <v>5704</v>
      </c>
      <c r="C65" s="255" t="str">
        <f>IFERROR(__xludf.DUMMYFUNCTION("GOOGLETRANSLATE(B65)"),"Regulatory letter for the financial year 2021 regarding appropriation 1:19 Industrial Life")</f>
        <v>Regulatory letter for the financial year 2021 regarding appropriation 1:19 Industrial Life</v>
      </c>
      <c r="D65" s="255" t="s">
        <v>5660</v>
      </c>
      <c r="E65" s="255" t="s">
        <v>5661</v>
      </c>
      <c r="F65" s="256" t="s">
        <v>34</v>
      </c>
      <c r="G65" s="256"/>
      <c r="H65" s="256">
        <v>2021.0</v>
      </c>
      <c r="I65" s="256" t="s">
        <v>5662</v>
      </c>
      <c r="J65" s="257" t="s">
        <v>5705</v>
      </c>
      <c r="K65" s="257" t="s">
        <v>5706</v>
      </c>
      <c r="L65" s="255" t="s">
        <v>5513</v>
      </c>
      <c r="M65" s="255"/>
      <c r="N65" s="260" t="s">
        <v>92</v>
      </c>
      <c r="O65" s="256" t="s">
        <v>5707</v>
      </c>
      <c r="P65" s="255"/>
      <c r="Q65" s="255"/>
      <c r="R65" s="3"/>
      <c r="S65" s="3"/>
      <c r="T65" s="3"/>
      <c r="U65" s="3"/>
      <c r="V65" s="3"/>
      <c r="W65" s="3"/>
      <c r="X65" s="3"/>
      <c r="Y65" s="3"/>
      <c r="Z65" s="3"/>
      <c r="AA65" s="3"/>
      <c r="AB65" s="3"/>
    </row>
    <row r="66" hidden="1">
      <c r="A66" s="249">
        <v>1687.0</v>
      </c>
      <c r="B66" s="271" t="s">
        <v>5708</v>
      </c>
      <c r="C66" s="113" t="str">
        <f>IFERROR(__xludf.DUMMYFUNCTION("GOOGLETRANSLATE(B66)"),"Federal Act on the Reduction of CO2 Emissions")</f>
        <v>Federal Act on the Reduction of CO2 Emissions</v>
      </c>
      <c r="D66" s="113" t="s">
        <v>5709</v>
      </c>
      <c r="E66" s="113" t="s">
        <v>5710</v>
      </c>
      <c r="F66" s="248" t="s">
        <v>45</v>
      </c>
      <c r="G66" s="248"/>
      <c r="H66" s="248">
        <v>2013.0</v>
      </c>
      <c r="I66" s="248" t="s">
        <v>24</v>
      </c>
      <c r="J66" s="113" t="s">
        <v>5711</v>
      </c>
      <c r="K66" s="250" t="s">
        <v>5712</v>
      </c>
      <c r="L66" s="113" t="s">
        <v>5513</v>
      </c>
      <c r="M66" s="113"/>
      <c r="N66" s="113" t="s">
        <v>23</v>
      </c>
      <c r="O66" s="113"/>
      <c r="P66" s="113"/>
      <c r="Q66" s="113"/>
    </row>
    <row r="67" hidden="1">
      <c r="A67" s="249">
        <v>1687.0</v>
      </c>
      <c r="B67" s="271" t="s">
        <v>5713</v>
      </c>
      <c r="C67" s="113" t="str">
        <f>IFERROR(__xludf.DUMMYFUNCTION("GOOGLETRANSLATE(B67)"),"CO2 emissions reduction order")</f>
        <v>CO2 emissions reduction order</v>
      </c>
      <c r="D67" s="113" t="s">
        <v>5709</v>
      </c>
      <c r="E67" s="113" t="s">
        <v>5710</v>
      </c>
      <c r="F67" s="248" t="s">
        <v>708</v>
      </c>
      <c r="G67" s="248"/>
      <c r="H67" s="248">
        <v>2012.0</v>
      </c>
      <c r="I67" s="248" t="s">
        <v>811</v>
      </c>
      <c r="J67" s="113" t="s">
        <v>5714</v>
      </c>
      <c r="K67" s="250" t="s">
        <v>5715</v>
      </c>
      <c r="L67" s="113" t="s">
        <v>5513</v>
      </c>
      <c r="M67" s="113"/>
      <c r="N67" s="113" t="s">
        <v>23</v>
      </c>
      <c r="O67" s="113"/>
      <c r="P67" s="113"/>
      <c r="Q67" s="113"/>
    </row>
    <row r="68" hidden="1">
      <c r="A68" s="249">
        <v>1687.0</v>
      </c>
      <c r="B68" s="259" t="s">
        <v>5716</v>
      </c>
      <c r="C68" s="113" t="str">
        <f>IFERROR(__xludf.DUMMYFUNCTION("GOOGLETRANSLATE(B68)"),"Partial revision of the order on the reduction of CO2 emissions")</f>
        <v>Partial revision of the order on the reduction of CO2 emissions</v>
      </c>
      <c r="D68" s="113" t="s">
        <v>5709</v>
      </c>
      <c r="E68" s="113" t="s">
        <v>5710</v>
      </c>
      <c r="F68" s="248" t="s">
        <v>708</v>
      </c>
      <c r="G68" s="248"/>
      <c r="H68" s="248">
        <v>2020.0</v>
      </c>
      <c r="I68" s="248" t="s">
        <v>811</v>
      </c>
      <c r="J68" s="113" t="s">
        <v>5717</v>
      </c>
      <c r="K68" s="250" t="s">
        <v>5718</v>
      </c>
      <c r="L68" s="113" t="s">
        <v>5513</v>
      </c>
      <c r="M68" s="113"/>
      <c r="N68" s="113" t="s">
        <v>23</v>
      </c>
      <c r="O68" s="113"/>
      <c r="P68" s="113"/>
      <c r="Q68" s="113"/>
    </row>
    <row r="69" hidden="1">
      <c r="A69" s="249">
        <v>1689.0</v>
      </c>
      <c r="B69" s="259" t="s">
        <v>5719</v>
      </c>
      <c r="C69" s="113" t="str">
        <f>IFERROR(__xludf.DUMMYFUNCTION("GOOGLETRANSLATE(B69)"),"Adaptation to climate change in Switzerland")</f>
        <v>Adaptation to climate change in Switzerland</v>
      </c>
      <c r="D69" s="113" t="s">
        <v>5709</v>
      </c>
      <c r="E69" s="113" t="s">
        <v>5710</v>
      </c>
      <c r="F69" s="248" t="s">
        <v>144</v>
      </c>
      <c r="G69" s="248"/>
      <c r="H69" s="248">
        <v>2012.0</v>
      </c>
      <c r="I69" s="248" t="s">
        <v>811</v>
      </c>
      <c r="J69" s="113" t="s">
        <v>5720</v>
      </c>
      <c r="K69" s="250" t="s">
        <v>5721</v>
      </c>
      <c r="L69" s="113" t="s">
        <v>5513</v>
      </c>
      <c r="M69" s="113"/>
      <c r="N69" s="113" t="s">
        <v>23</v>
      </c>
      <c r="O69" s="113"/>
      <c r="P69" s="113"/>
      <c r="Q69" s="113"/>
    </row>
    <row r="70" hidden="1">
      <c r="A70" s="249">
        <v>1689.0</v>
      </c>
      <c r="B70" s="271" t="s">
        <v>5722</v>
      </c>
      <c r="C70" s="113" t="str">
        <f>IFERROR(__xludf.DUMMYFUNCTION("GOOGLETRANSLATE(B70)"),"Adaptation to climate change in Switzerland")</f>
        <v>Adaptation to climate change in Switzerland</v>
      </c>
      <c r="D70" s="113" t="s">
        <v>5709</v>
      </c>
      <c r="E70" s="113" t="s">
        <v>5710</v>
      </c>
      <c r="F70" s="248" t="s">
        <v>144</v>
      </c>
      <c r="G70" s="248"/>
      <c r="H70" s="248">
        <v>2012.0</v>
      </c>
      <c r="I70" s="248" t="s">
        <v>1470</v>
      </c>
      <c r="J70" s="113" t="s">
        <v>5723</v>
      </c>
      <c r="K70" s="250" t="s">
        <v>5724</v>
      </c>
      <c r="L70" s="113" t="s">
        <v>5513</v>
      </c>
      <c r="M70" s="113"/>
      <c r="N70" s="113" t="s">
        <v>23</v>
      </c>
      <c r="O70" s="113"/>
      <c r="P70" s="113"/>
      <c r="Q70" s="113"/>
    </row>
    <row r="71" hidden="1">
      <c r="A71" s="249">
        <v>1690.0</v>
      </c>
      <c r="B71" s="259" t="s">
        <v>5725</v>
      </c>
      <c r="C71" s="113" t="str">
        <f>IFERROR(__xludf.DUMMYFUNCTION("GOOGLETRANSLATE(B71)"),"Ordinance on the reduction of CO2 emissions")</f>
        <v>Ordinance on the reduction of CO2 emissions</v>
      </c>
      <c r="D71" s="113" t="s">
        <v>5709</v>
      </c>
      <c r="E71" s="113" t="s">
        <v>5710</v>
      </c>
      <c r="F71" s="248" t="s">
        <v>34</v>
      </c>
      <c r="G71" s="248"/>
      <c r="H71" s="248">
        <v>2012.0</v>
      </c>
      <c r="I71" s="248" t="s">
        <v>1470</v>
      </c>
      <c r="J71" s="113" t="s">
        <v>5726</v>
      </c>
      <c r="K71" s="250" t="s">
        <v>5727</v>
      </c>
      <c r="L71" s="113" t="s">
        <v>5513</v>
      </c>
      <c r="M71" s="113"/>
      <c r="N71" s="113" t="s">
        <v>23</v>
      </c>
      <c r="O71" s="113"/>
      <c r="P71" s="113"/>
      <c r="Q71" s="113"/>
    </row>
    <row r="72" hidden="1">
      <c r="A72" s="249">
        <v>1690.0</v>
      </c>
      <c r="B72" s="271" t="s">
        <v>5713</v>
      </c>
      <c r="C72" s="113" t="str">
        <f>IFERROR(__xludf.DUMMYFUNCTION("GOOGLETRANSLATE(B72)"),"CO2 emissions reduction order")</f>
        <v>CO2 emissions reduction order</v>
      </c>
      <c r="D72" s="113" t="s">
        <v>5709</v>
      </c>
      <c r="E72" s="113" t="s">
        <v>5710</v>
      </c>
      <c r="F72" s="248" t="s">
        <v>708</v>
      </c>
      <c r="G72" s="248"/>
      <c r="H72" s="248">
        <v>2012.0</v>
      </c>
      <c r="I72" s="248" t="s">
        <v>811</v>
      </c>
      <c r="J72" s="113" t="s">
        <v>5728</v>
      </c>
      <c r="K72" s="250" t="s">
        <v>5729</v>
      </c>
      <c r="L72" s="113" t="s">
        <v>5513</v>
      </c>
      <c r="M72" s="113"/>
      <c r="N72" s="113" t="s">
        <v>23</v>
      </c>
      <c r="O72" s="113"/>
      <c r="P72" s="113"/>
      <c r="Q72" s="113"/>
    </row>
    <row r="73" hidden="1">
      <c r="A73" s="249">
        <v>1690.0</v>
      </c>
      <c r="B73" s="271" t="s">
        <v>5730</v>
      </c>
      <c r="C73" s="113" t="str">
        <f>IFERROR(__xludf.DUMMYFUNCTION("GOOGLETRANSLATE(B73)"),"Ordinance on the Reduction of CO2 Emissions")</f>
        <v>Ordinance on the Reduction of CO2 Emissions</v>
      </c>
      <c r="D73" s="113" t="s">
        <v>5709</v>
      </c>
      <c r="E73" s="113" t="s">
        <v>5710</v>
      </c>
      <c r="F73" s="248" t="s">
        <v>708</v>
      </c>
      <c r="G73" s="248"/>
      <c r="H73" s="248">
        <v>2012.0</v>
      </c>
      <c r="I73" s="248" t="s">
        <v>24</v>
      </c>
      <c r="J73" s="113" t="s">
        <v>5731</v>
      </c>
      <c r="K73" s="250" t="s">
        <v>5732</v>
      </c>
      <c r="L73" s="113" t="s">
        <v>5513</v>
      </c>
      <c r="M73" s="113"/>
      <c r="N73" s="113" t="s">
        <v>23</v>
      </c>
      <c r="O73" s="113"/>
      <c r="P73" s="113"/>
      <c r="Q73" s="113"/>
    </row>
    <row r="74" hidden="1">
      <c r="A74" s="249">
        <v>1691.0</v>
      </c>
      <c r="B74" s="273" t="s">
        <v>5733</v>
      </c>
      <c r="C74" s="248" t="s">
        <v>5734</v>
      </c>
      <c r="D74" s="113" t="s">
        <v>5709</v>
      </c>
      <c r="E74" s="113" t="s">
        <v>5710</v>
      </c>
      <c r="F74" s="248" t="s">
        <v>708</v>
      </c>
      <c r="G74" s="255"/>
      <c r="H74" s="255"/>
      <c r="I74" s="248" t="s">
        <v>1470</v>
      </c>
      <c r="J74" s="113" t="s">
        <v>5735</v>
      </c>
      <c r="K74" s="250" t="s">
        <v>5736</v>
      </c>
      <c r="L74" s="113" t="s">
        <v>5513</v>
      </c>
      <c r="M74" s="113"/>
      <c r="N74" s="113" t="s">
        <v>23</v>
      </c>
      <c r="O74" s="113"/>
      <c r="P74" s="113"/>
      <c r="Q74" s="113"/>
    </row>
    <row r="75" hidden="1">
      <c r="A75" s="249">
        <v>1691.0</v>
      </c>
      <c r="B75" s="271" t="s">
        <v>5737</v>
      </c>
      <c r="C75" s="113" t="str">
        <f>IFERROR(__xludf.DUMMYFUNCTION("GOOGLETRANSLATE(B75)"),"Order on the imposition of mineral oils")</f>
        <v>Order on the imposition of mineral oils</v>
      </c>
      <c r="D75" s="113" t="s">
        <v>5709</v>
      </c>
      <c r="E75" s="113" t="s">
        <v>5710</v>
      </c>
      <c r="F75" s="248" t="s">
        <v>708</v>
      </c>
      <c r="G75" s="248"/>
      <c r="H75" s="248">
        <v>2017.0</v>
      </c>
      <c r="I75" s="248" t="s">
        <v>811</v>
      </c>
      <c r="J75" s="113" t="s">
        <v>5738</v>
      </c>
      <c r="K75" s="250" t="s">
        <v>5739</v>
      </c>
      <c r="L75" s="113" t="s">
        <v>5513</v>
      </c>
      <c r="M75" s="113"/>
      <c r="N75" s="113" t="s">
        <v>23</v>
      </c>
      <c r="O75" s="113"/>
      <c r="P75" s="113"/>
      <c r="Q75" s="113"/>
    </row>
    <row r="76" hidden="1">
      <c r="A76" s="249">
        <v>1692.0</v>
      </c>
      <c r="B76" s="259" t="s">
        <v>5740</v>
      </c>
      <c r="C76" s="113" t="str">
        <f>IFERROR(__xludf.DUMMYFUNCTION("GOOGLETRANSLATE(B76)"),"Federal Law on a power -dependent heavy traffic tax")</f>
        <v>Federal Law on a power -dependent heavy traffic tax</v>
      </c>
      <c r="D76" s="113" t="s">
        <v>5709</v>
      </c>
      <c r="E76" s="113" t="s">
        <v>5710</v>
      </c>
      <c r="F76" s="248" t="s">
        <v>41</v>
      </c>
      <c r="G76" s="248"/>
      <c r="H76" s="248">
        <v>1997.0</v>
      </c>
      <c r="I76" s="248" t="s">
        <v>1470</v>
      </c>
      <c r="J76" s="113" t="s">
        <v>5741</v>
      </c>
      <c r="K76" s="250" t="s">
        <v>5742</v>
      </c>
      <c r="L76" s="113" t="s">
        <v>5513</v>
      </c>
      <c r="M76" s="113"/>
      <c r="N76" s="113" t="s">
        <v>23</v>
      </c>
      <c r="O76" s="113"/>
      <c r="P76" s="113"/>
      <c r="Q76" s="113"/>
    </row>
    <row r="77" hidden="1">
      <c r="A77" s="249">
        <v>1692.0</v>
      </c>
      <c r="B77" s="259" t="s">
        <v>5743</v>
      </c>
      <c r="C77" s="113" t="str">
        <f>IFERROR(__xludf.DUMMYFUNCTION("GOOGLETRANSLATE(B77)"),"Federal law concerning a fee on heavy goods vehicles linked to the benefits")</f>
        <v>Federal law concerning a fee on heavy goods vehicles linked to the benefits</v>
      </c>
      <c r="D77" s="113" t="s">
        <v>5709</v>
      </c>
      <c r="E77" s="113" t="s">
        <v>5710</v>
      </c>
      <c r="F77" s="248" t="s">
        <v>41</v>
      </c>
      <c r="G77" s="248"/>
      <c r="H77" s="248">
        <v>1997.0</v>
      </c>
      <c r="I77" s="248" t="s">
        <v>811</v>
      </c>
      <c r="J77" s="113" t="s">
        <v>5744</v>
      </c>
      <c r="K77" s="250" t="s">
        <v>5745</v>
      </c>
      <c r="L77" s="113" t="s">
        <v>5513</v>
      </c>
      <c r="M77" s="113"/>
      <c r="N77" s="113" t="s">
        <v>23</v>
      </c>
      <c r="O77" s="113"/>
      <c r="P77" s="113"/>
      <c r="Q77" s="113"/>
    </row>
    <row r="78" hidden="1">
      <c r="A78" s="249">
        <v>1693.0</v>
      </c>
      <c r="B78" s="271" t="s">
        <v>5746</v>
      </c>
      <c r="C78" s="113" t="str">
        <f>IFERROR(__xludf.DUMMYFUNCTION("GOOGLETRANSLATE(B78)"),"Energy law")</f>
        <v>Energy law</v>
      </c>
      <c r="D78" s="113" t="s">
        <v>5709</v>
      </c>
      <c r="E78" s="113" t="s">
        <v>5710</v>
      </c>
      <c r="F78" s="248" t="s">
        <v>41</v>
      </c>
      <c r="G78" s="248"/>
      <c r="H78" s="248">
        <v>2016.0</v>
      </c>
      <c r="I78" s="248" t="s">
        <v>1470</v>
      </c>
      <c r="J78" s="113" t="s">
        <v>5747</v>
      </c>
      <c r="K78" s="250" t="s">
        <v>5748</v>
      </c>
      <c r="L78" s="113" t="s">
        <v>5513</v>
      </c>
      <c r="M78" s="113"/>
      <c r="N78" s="113" t="s">
        <v>23</v>
      </c>
      <c r="O78" s="113"/>
      <c r="P78" s="113"/>
      <c r="Q78" s="113"/>
    </row>
    <row r="79" hidden="1">
      <c r="A79" s="249">
        <v>1693.0</v>
      </c>
      <c r="B79" s="271" t="s">
        <v>5749</v>
      </c>
      <c r="C79" s="113" t="str">
        <f>IFERROR(__xludf.DUMMYFUNCTION("GOOGLETRANSLATE(B79)"),"Energy law*")</f>
        <v>Energy law*</v>
      </c>
      <c r="D79" s="113" t="s">
        <v>5709</v>
      </c>
      <c r="E79" s="113" t="s">
        <v>5710</v>
      </c>
      <c r="F79" s="248" t="s">
        <v>41</v>
      </c>
      <c r="G79" s="248"/>
      <c r="H79" s="248">
        <v>2016.0</v>
      </c>
      <c r="I79" s="248" t="s">
        <v>811</v>
      </c>
      <c r="J79" s="113" t="s">
        <v>5750</v>
      </c>
      <c r="K79" s="250" t="s">
        <v>5751</v>
      </c>
      <c r="L79" s="113" t="s">
        <v>5513</v>
      </c>
      <c r="M79" s="113"/>
      <c r="N79" s="113" t="s">
        <v>23</v>
      </c>
      <c r="O79" s="113"/>
      <c r="P79" s="113"/>
      <c r="Q79" s="113"/>
    </row>
    <row r="80" hidden="1">
      <c r="A80" s="249">
        <v>1693.0</v>
      </c>
      <c r="B80" s="277" t="s">
        <v>5749</v>
      </c>
      <c r="C80" s="113" t="str">
        <f>IFERROR(__xludf.DUMMYFUNCTION("GOOGLETRANSLATE(B80)"),"Energy law*")</f>
        <v>Energy law*</v>
      </c>
      <c r="D80" s="113" t="s">
        <v>5709</v>
      </c>
      <c r="E80" s="113" t="s">
        <v>5710</v>
      </c>
      <c r="F80" s="248" t="s">
        <v>41</v>
      </c>
      <c r="G80" s="248"/>
      <c r="H80" s="248">
        <v>2016.0</v>
      </c>
      <c r="I80" s="248" t="s">
        <v>811</v>
      </c>
      <c r="J80" s="113" t="s">
        <v>5752</v>
      </c>
      <c r="K80" s="250" t="s">
        <v>5753</v>
      </c>
      <c r="L80" s="113" t="s">
        <v>5513</v>
      </c>
      <c r="M80" s="113"/>
      <c r="N80" s="252" t="s">
        <v>229</v>
      </c>
      <c r="O80" s="113"/>
      <c r="P80" s="113"/>
      <c r="Q80" s="113"/>
    </row>
    <row r="81" hidden="1">
      <c r="A81" s="249">
        <v>1693.0</v>
      </c>
      <c r="B81" s="277" t="s">
        <v>5754</v>
      </c>
      <c r="C81" s="113"/>
      <c r="D81" s="113" t="s">
        <v>5709</v>
      </c>
      <c r="E81" s="113" t="s">
        <v>5710</v>
      </c>
      <c r="F81" s="248" t="s">
        <v>708</v>
      </c>
      <c r="G81" s="248"/>
      <c r="H81" s="248">
        <v>2017.0</v>
      </c>
      <c r="I81" s="248" t="s">
        <v>811</v>
      </c>
      <c r="J81" s="113" t="s">
        <v>5755</v>
      </c>
      <c r="K81" s="250" t="s">
        <v>5756</v>
      </c>
      <c r="L81" s="113" t="s">
        <v>5513</v>
      </c>
      <c r="M81" s="113"/>
      <c r="N81" s="252" t="s">
        <v>229</v>
      </c>
      <c r="O81" s="113"/>
      <c r="P81" s="113"/>
      <c r="Q81" s="113"/>
    </row>
    <row r="82" hidden="1">
      <c r="A82" s="249">
        <v>1694.0</v>
      </c>
      <c r="B82" s="271" t="s">
        <v>5757</v>
      </c>
      <c r="C82" s="113" t="str">
        <f>IFERROR(__xludf.DUMMYFUNCTION("GOOGLETRANSLATE(B82)"),"Federal Act on the Forest")</f>
        <v>Federal Act on the Forest</v>
      </c>
      <c r="D82" s="113" t="s">
        <v>5709</v>
      </c>
      <c r="E82" s="113" t="s">
        <v>5710</v>
      </c>
      <c r="F82" s="248" t="s">
        <v>41</v>
      </c>
      <c r="G82" s="248"/>
      <c r="H82" s="248">
        <v>1991.0</v>
      </c>
      <c r="I82" s="248" t="s">
        <v>1470</v>
      </c>
      <c r="J82" s="113" t="s">
        <v>5758</v>
      </c>
      <c r="K82" s="250" t="s">
        <v>5759</v>
      </c>
      <c r="L82" s="113" t="s">
        <v>5513</v>
      </c>
      <c r="M82" s="113"/>
      <c r="N82" s="113" t="s">
        <v>23</v>
      </c>
      <c r="O82" s="113"/>
      <c r="P82" s="113"/>
      <c r="Q82" s="113"/>
    </row>
    <row r="83" hidden="1">
      <c r="A83" s="249">
        <v>1694.0</v>
      </c>
      <c r="B83" s="271" t="s">
        <v>5760</v>
      </c>
      <c r="C83" s="113" t="str">
        <f>IFERROR(__xludf.DUMMYFUNCTION("GOOGLETRANSLATE(B83)"),"Federal Forest Law")</f>
        <v>Federal Forest Law</v>
      </c>
      <c r="D83" s="113" t="s">
        <v>5709</v>
      </c>
      <c r="E83" s="113" t="s">
        <v>5710</v>
      </c>
      <c r="F83" s="248" t="s">
        <v>41</v>
      </c>
      <c r="G83" s="248"/>
      <c r="H83" s="248">
        <v>1991.0</v>
      </c>
      <c r="I83" s="248" t="s">
        <v>811</v>
      </c>
      <c r="J83" s="113" t="s">
        <v>5761</v>
      </c>
      <c r="K83" s="250" t="s">
        <v>5762</v>
      </c>
      <c r="L83" s="113" t="s">
        <v>5513</v>
      </c>
      <c r="M83" s="113"/>
      <c r="N83" s="113" t="s">
        <v>23</v>
      </c>
      <c r="O83" s="113"/>
      <c r="P83" s="113"/>
      <c r="Q83" s="113"/>
    </row>
    <row r="84" hidden="1">
      <c r="A84" s="249">
        <v>1694.0</v>
      </c>
      <c r="B84" s="271" t="s">
        <v>5763</v>
      </c>
      <c r="C84" s="1" t="s">
        <v>5763</v>
      </c>
      <c r="D84" s="113" t="s">
        <v>5709</v>
      </c>
      <c r="E84" s="113" t="s">
        <v>5710</v>
      </c>
      <c r="F84" s="248" t="s">
        <v>41</v>
      </c>
      <c r="G84" s="248"/>
      <c r="H84" s="248">
        <v>1991.0</v>
      </c>
      <c r="I84" s="248" t="s">
        <v>24</v>
      </c>
      <c r="J84" s="113" t="s">
        <v>5764</v>
      </c>
      <c r="K84" s="250" t="s">
        <v>5765</v>
      </c>
      <c r="L84" s="113" t="s">
        <v>5513</v>
      </c>
      <c r="M84" s="113"/>
      <c r="N84" s="113" t="s">
        <v>23</v>
      </c>
      <c r="O84" s="113"/>
      <c r="P84" s="113"/>
      <c r="Q84" s="113"/>
    </row>
    <row r="85" hidden="1">
      <c r="A85" s="253">
        <v>10049.0</v>
      </c>
      <c r="B85" s="278" t="s">
        <v>5766</v>
      </c>
      <c r="C85" s="255"/>
      <c r="D85" s="255" t="s">
        <v>5709</v>
      </c>
      <c r="E85" s="255" t="s">
        <v>5710</v>
      </c>
      <c r="F85" s="256" t="s">
        <v>144</v>
      </c>
      <c r="G85" s="256"/>
      <c r="H85" s="256">
        <v>2021.0</v>
      </c>
      <c r="I85" s="256" t="s">
        <v>24</v>
      </c>
      <c r="J85" s="255" t="s">
        <v>5767</v>
      </c>
      <c r="K85" s="257" t="s">
        <v>5768</v>
      </c>
      <c r="L85" s="255" t="s">
        <v>5513</v>
      </c>
      <c r="M85" s="255"/>
      <c r="N85" s="260" t="s">
        <v>839</v>
      </c>
      <c r="O85" s="256" t="s">
        <v>5769</v>
      </c>
      <c r="P85" s="255"/>
      <c r="Q85" s="255"/>
      <c r="R85" s="3"/>
      <c r="S85" s="3"/>
      <c r="T85" s="3"/>
      <c r="U85" s="3"/>
      <c r="V85" s="3"/>
      <c r="W85" s="3"/>
      <c r="X85" s="3"/>
      <c r="Y85" s="3"/>
      <c r="Z85" s="3"/>
      <c r="AA85" s="3"/>
      <c r="AB85" s="3"/>
    </row>
    <row r="86" hidden="1">
      <c r="A86" s="253">
        <v>10049.0</v>
      </c>
      <c r="B86" s="270" t="s">
        <v>5770</v>
      </c>
      <c r="C86" s="255"/>
      <c r="D86" s="255" t="s">
        <v>5709</v>
      </c>
      <c r="E86" s="255" t="s">
        <v>5710</v>
      </c>
      <c r="F86" s="256" t="s">
        <v>144</v>
      </c>
      <c r="G86" s="256"/>
      <c r="H86" s="256">
        <v>2018.0</v>
      </c>
      <c r="I86" s="256" t="s">
        <v>24</v>
      </c>
      <c r="J86" s="255" t="s">
        <v>5771</v>
      </c>
      <c r="K86" s="257" t="s">
        <v>5772</v>
      </c>
      <c r="L86" s="255" t="s">
        <v>5513</v>
      </c>
      <c r="M86" s="255"/>
      <c r="N86" s="255" t="s">
        <v>23</v>
      </c>
      <c r="O86" s="256" t="s">
        <v>5773</v>
      </c>
      <c r="P86" s="255"/>
      <c r="Q86" s="255"/>
      <c r="R86" s="3"/>
      <c r="S86" s="3"/>
      <c r="T86" s="3"/>
      <c r="U86" s="3"/>
      <c r="V86" s="3"/>
      <c r="W86" s="3"/>
      <c r="X86" s="3"/>
      <c r="Y86" s="3"/>
      <c r="Z86" s="3"/>
      <c r="AA86" s="3"/>
      <c r="AB86" s="3"/>
    </row>
    <row r="87" hidden="1">
      <c r="A87" s="249">
        <v>1695.0</v>
      </c>
      <c r="B87" s="271" t="s">
        <v>5774</v>
      </c>
      <c r="C87" s="113" t="str">
        <f>IFERROR(__xludf.DUMMYFUNCTION("GOOGLETRANSLATE(B87)"),"Law on the use of renewable energy sources")</f>
        <v>Law on the use of renewable energy sources</v>
      </c>
      <c r="D87" s="113" t="s">
        <v>5775</v>
      </c>
      <c r="E87" s="113" t="s">
        <v>5776</v>
      </c>
      <c r="F87" s="248" t="s">
        <v>41</v>
      </c>
      <c r="G87" s="248"/>
      <c r="H87" s="248">
        <v>2010.0</v>
      </c>
      <c r="I87" s="248" t="s">
        <v>347</v>
      </c>
      <c r="J87" s="113" t="s">
        <v>5777</v>
      </c>
      <c r="K87" s="250" t="s">
        <v>5778</v>
      </c>
      <c r="L87" s="113" t="s">
        <v>5513</v>
      </c>
      <c r="M87" s="113"/>
      <c r="N87" s="113" t="s">
        <v>23</v>
      </c>
      <c r="O87" s="113"/>
      <c r="P87" s="113"/>
      <c r="Q87" s="113"/>
    </row>
    <row r="88" hidden="1">
      <c r="A88" s="253">
        <v>1695.0</v>
      </c>
      <c r="B88" s="270" t="s">
        <v>5779</v>
      </c>
      <c r="C88" s="255"/>
      <c r="D88" s="255" t="s">
        <v>5775</v>
      </c>
      <c r="E88" s="255" t="s">
        <v>5776</v>
      </c>
      <c r="F88" s="256" t="s">
        <v>41</v>
      </c>
      <c r="G88" s="256"/>
      <c r="H88" s="256">
        <v>2010.0</v>
      </c>
      <c r="I88" s="256" t="s">
        <v>24</v>
      </c>
      <c r="J88" s="255" t="s">
        <v>5780</v>
      </c>
      <c r="K88" s="257" t="s">
        <v>5781</v>
      </c>
      <c r="L88" s="255" t="s">
        <v>5513</v>
      </c>
      <c r="M88" s="255"/>
      <c r="N88" s="255" t="s">
        <v>23</v>
      </c>
      <c r="O88" s="256" t="s">
        <v>5782</v>
      </c>
      <c r="P88" s="255"/>
      <c r="Q88" s="255"/>
      <c r="R88" s="3"/>
      <c r="S88" s="3"/>
      <c r="T88" s="3"/>
      <c r="U88" s="3"/>
      <c r="V88" s="3"/>
      <c r="W88" s="3"/>
      <c r="X88" s="3"/>
      <c r="Y88" s="3"/>
      <c r="Z88" s="3"/>
      <c r="AA88" s="3"/>
      <c r="AB88" s="3"/>
    </row>
    <row r="89" hidden="1">
      <c r="A89" s="249">
        <v>1704.0</v>
      </c>
      <c r="B89" s="271" t="s">
        <v>1614</v>
      </c>
      <c r="C89" s="1" t="s">
        <v>1614</v>
      </c>
      <c r="D89" s="113" t="s">
        <v>5783</v>
      </c>
      <c r="E89" s="113" t="s">
        <v>5784</v>
      </c>
      <c r="F89" s="248" t="s">
        <v>144</v>
      </c>
      <c r="G89" s="248"/>
      <c r="H89" s="248">
        <v>2012.0</v>
      </c>
      <c r="I89" s="248" t="s">
        <v>24</v>
      </c>
      <c r="J89" s="113" t="s">
        <v>5785</v>
      </c>
      <c r="K89" s="250" t="s">
        <v>5786</v>
      </c>
      <c r="L89" s="113" t="s">
        <v>5513</v>
      </c>
      <c r="M89" s="113"/>
      <c r="N89" s="113" t="s">
        <v>23</v>
      </c>
      <c r="O89" s="113"/>
      <c r="P89" s="113"/>
      <c r="Q89" s="113"/>
    </row>
    <row r="90" hidden="1">
      <c r="A90" s="249">
        <v>1704.0</v>
      </c>
      <c r="B90" s="271" t="s">
        <v>5787</v>
      </c>
      <c r="C90" s="113" t="str">
        <f>IFERROR(__xludf.DUMMYFUNCTION("GOOGLETRANSLATE(B90)"),"NATIONAL CLIMATE CHANGE RESPONSE STRATEGY 2021-2026")</f>
        <v>NATIONAL CLIMATE CHANGE RESPONSE STRATEGY 2021-2026</v>
      </c>
      <c r="D90" s="113" t="s">
        <v>5783</v>
      </c>
      <c r="E90" s="113" t="s">
        <v>5784</v>
      </c>
      <c r="F90" s="248" t="s">
        <v>144</v>
      </c>
      <c r="G90" s="248"/>
      <c r="H90" s="248">
        <v>2021.0</v>
      </c>
      <c r="I90" s="248" t="s">
        <v>24</v>
      </c>
      <c r="J90" s="113" t="s">
        <v>5788</v>
      </c>
      <c r="K90" s="250" t="s">
        <v>5789</v>
      </c>
      <c r="L90" s="113" t="s">
        <v>5513</v>
      </c>
      <c r="M90" s="113"/>
      <c r="N90" s="113" t="s">
        <v>23</v>
      </c>
      <c r="O90" s="113"/>
      <c r="P90" s="113"/>
      <c r="Q90" s="113"/>
    </row>
    <row r="91" hidden="1">
      <c r="A91" s="249">
        <v>1710.0</v>
      </c>
      <c r="B91" s="271" t="s">
        <v>5790</v>
      </c>
      <c r="C91" s="113" t="str">
        <f>IFERROR(__xludf.DUMMYFUNCTION("GOOGLETRANSLATE(B91)"),"Royal Decree: Establishing a greenhouse gas management organization (Public organization)")</f>
        <v>Royal Decree: Establishing a greenhouse gas management organization (Public organization)</v>
      </c>
      <c r="D91" s="113" t="s">
        <v>5791</v>
      </c>
      <c r="E91" s="113" t="s">
        <v>5792</v>
      </c>
      <c r="F91" s="248" t="s">
        <v>18</v>
      </c>
      <c r="G91" s="248"/>
      <c r="H91" s="248">
        <v>2007.0</v>
      </c>
      <c r="I91" s="248" t="s">
        <v>5793</v>
      </c>
      <c r="J91" s="113" t="s">
        <v>5794</v>
      </c>
      <c r="K91" s="250" t="s">
        <v>5795</v>
      </c>
      <c r="L91" s="113" t="s">
        <v>5513</v>
      </c>
      <c r="M91" s="113"/>
      <c r="N91" s="113" t="s">
        <v>23</v>
      </c>
      <c r="O91" s="113"/>
      <c r="P91" s="113"/>
      <c r="Q91" s="113"/>
    </row>
    <row r="92" hidden="1">
      <c r="A92" s="249">
        <v>1710.0</v>
      </c>
      <c r="B92" s="271" t="s">
        <v>5796</v>
      </c>
      <c r="C92" s="113" t="str">
        <f>IFERROR(__xludf.DUMMYFUNCTION("GOOGLETRANSLATE(B92)"),"Royal Decree: Establishing a greenhouse gas management organization (Public organization)")</f>
        <v>Royal Decree: Establishing a greenhouse gas management organization (Public organization)</v>
      </c>
      <c r="D92" s="113" t="s">
        <v>5791</v>
      </c>
      <c r="E92" s="113" t="s">
        <v>5792</v>
      </c>
      <c r="F92" s="248" t="s">
        <v>18</v>
      </c>
      <c r="G92" s="248"/>
      <c r="H92" s="248">
        <v>2007.0</v>
      </c>
      <c r="I92" s="248" t="s">
        <v>24</v>
      </c>
      <c r="J92" s="113" t="s">
        <v>5797</v>
      </c>
      <c r="K92" s="250" t="s">
        <v>5798</v>
      </c>
      <c r="L92" s="113" t="s">
        <v>5513</v>
      </c>
      <c r="M92" s="113"/>
      <c r="N92" s="113" t="s">
        <v>23</v>
      </c>
      <c r="O92" s="113"/>
      <c r="P92" s="113"/>
      <c r="Q92" s="113"/>
    </row>
    <row r="93" hidden="1">
      <c r="A93" s="249">
        <v>1712.0</v>
      </c>
      <c r="B93" s="271" t="s">
        <v>5799</v>
      </c>
      <c r="C93" s="113" t="str">
        <f>IFERROR(__xludf.DUMMYFUNCTION("GOOGLETRANSLATE(B93)"),"The Energy Conservation Promotion Act B.E. 2535")</f>
        <v>The Energy Conservation Promotion Act B.E. 2535</v>
      </c>
      <c r="D93" s="113" t="s">
        <v>5791</v>
      </c>
      <c r="E93" s="113" t="s">
        <v>5792</v>
      </c>
      <c r="F93" s="248" t="s">
        <v>45</v>
      </c>
      <c r="G93" s="248"/>
      <c r="H93" s="248">
        <v>1992.0</v>
      </c>
      <c r="I93" s="248" t="s">
        <v>24</v>
      </c>
      <c r="J93" s="113" t="s">
        <v>5800</v>
      </c>
      <c r="K93" s="250" t="s">
        <v>5801</v>
      </c>
      <c r="L93" s="113" t="s">
        <v>5513</v>
      </c>
      <c r="M93" s="113"/>
      <c r="N93" s="113" t="s">
        <v>23</v>
      </c>
      <c r="O93" s="113"/>
      <c r="P93" s="113"/>
      <c r="Q93" s="113"/>
    </row>
    <row r="94" hidden="1">
      <c r="A94" s="249">
        <v>1712.0</v>
      </c>
      <c r="B94" s="271" t="s">
        <v>5802</v>
      </c>
      <c r="C94" s="113" t="str">
        <f>IFERROR(__xludf.DUMMYFUNCTION("GOOGLETRANSLATE(B94)"),"Energy Conservation Promotion Act")</f>
        <v>Energy Conservation Promotion Act</v>
      </c>
      <c r="D94" s="113" t="s">
        <v>5791</v>
      </c>
      <c r="E94" s="113" t="s">
        <v>5792</v>
      </c>
      <c r="F94" s="248" t="s">
        <v>45</v>
      </c>
      <c r="G94" s="248"/>
      <c r="H94" s="248">
        <v>2007.0</v>
      </c>
      <c r="I94" s="248" t="s">
        <v>24</v>
      </c>
      <c r="J94" s="113" t="s">
        <v>5803</v>
      </c>
      <c r="K94" s="250" t="s">
        <v>5804</v>
      </c>
      <c r="L94" s="113" t="s">
        <v>5513</v>
      </c>
      <c r="M94" s="113"/>
      <c r="N94" s="113" t="s">
        <v>23</v>
      </c>
      <c r="O94" s="113"/>
      <c r="P94" s="113"/>
      <c r="Q94" s="113"/>
    </row>
    <row r="95" hidden="1">
      <c r="A95" s="249">
        <v>10379.0</v>
      </c>
      <c r="B95" s="259" t="s">
        <v>5805</v>
      </c>
      <c r="C95" s="113" t="str">
        <f>IFERROR(__xludf.DUMMYFUNCTION("GOOGLETRANSLATE(B95)"),"Decree No. 93-942 of April 26, 1993, fixing the methods of elaboration and application of the national plan and regional plans relating to the fight against calamities, their prevention and the organization of rescue.")</f>
        <v>Decree No. 93-942 of April 26, 1993, fixing the methods of elaboration and application of the national plan and regional plans relating to the fight against calamities, their prevention and the organization of rescue.</v>
      </c>
      <c r="D95" s="113" t="s">
        <v>5806</v>
      </c>
      <c r="E95" s="113" t="s">
        <v>5807</v>
      </c>
      <c r="F95" s="248" t="s">
        <v>18</v>
      </c>
      <c r="G95" s="248"/>
      <c r="H95" s="248">
        <v>1993.0</v>
      </c>
      <c r="I95" s="248" t="s">
        <v>811</v>
      </c>
      <c r="J95" s="113" t="s">
        <v>5808</v>
      </c>
      <c r="K95" s="250" t="s">
        <v>5809</v>
      </c>
      <c r="L95" s="113" t="s">
        <v>5513</v>
      </c>
      <c r="M95" s="113"/>
      <c r="N95" s="113" t="s">
        <v>37</v>
      </c>
      <c r="O95" s="113"/>
      <c r="P95" s="113"/>
      <c r="Q95" s="113"/>
    </row>
    <row r="96" hidden="1">
      <c r="A96" s="249">
        <v>10379.0</v>
      </c>
      <c r="B96" s="259" t="s">
        <v>5810</v>
      </c>
      <c r="C96" s="113"/>
      <c r="D96" s="113" t="s">
        <v>5806</v>
      </c>
      <c r="E96" s="113" t="s">
        <v>5807</v>
      </c>
      <c r="F96" s="248" t="s">
        <v>41</v>
      </c>
      <c r="G96" s="248"/>
      <c r="H96" s="248">
        <v>1991.0</v>
      </c>
      <c r="I96" s="248" t="s">
        <v>811</v>
      </c>
      <c r="J96" s="113" t="s">
        <v>5811</v>
      </c>
      <c r="K96" s="250" t="s">
        <v>5812</v>
      </c>
      <c r="L96" s="113" t="s">
        <v>5513</v>
      </c>
      <c r="M96" s="113"/>
      <c r="N96" s="113" t="s">
        <v>275</v>
      </c>
      <c r="O96" s="113"/>
      <c r="P96" s="113"/>
      <c r="Q96" s="113"/>
    </row>
    <row r="97" hidden="1">
      <c r="A97" s="249">
        <v>10381.0</v>
      </c>
      <c r="B97" s="279" t="s">
        <v>5813</v>
      </c>
      <c r="C97" s="113" t="str">
        <f>IFERROR(__xludf.DUMMYFUNCTION("GOOGLETRANSLATE(B97)"),"National strategy and action plan for
Biodiversity 2018-2030")</f>
        <v>National strategy and action plan for
Biodiversity 2018-2030</v>
      </c>
      <c r="D97" s="113" t="s">
        <v>5806</v>
      </c>
      <c r="E97" s="113" t="s">
        <v>5807</v>
      </c>
      <c r="F97" s="248" t="s">
        <v>144</v>
      </c>
      <c r="G97" s="248"/>
      <c r="H97" s="248">
        <v>2018.0</v>
      </c>
      <c r="I97" s="248" t="s">
        <v>811</v>
      </c>
      <c r="J97" s="113" t="s">
        <v>5814</v>
      </c>
      <c r="K97" s="250" t="s">
        <v>5815</v>
      </c>
      <c r="L97" s="113" t="s">
        <v>5513</v>
      </c>
      <c r="M97" s="113"/>
      <c r="N97" s="113" t="s">
        <v>23</v>
      </c>
      <c r="O97" s="113"/>
      <c r="P97" s="113"/>
      <c r="Q97" s="113"/>
    </row>
    <row r="98" hidden="1">
      <c r="A98" s="249">
        <v>10381.0</v>
      </c>
      <c r="B98" s="280" t="s">
        <v>5816</v>
      </c>
      <c r="C98" s="113" t="str">
        <f>IFERROR(__xludf.DUMMYFUNCTION("GOOGLETRANSLATE(B98)"),"Evolution of national planning in terms of biological diversity")</f>
        <v>Evolution of national planning in terms of biological diversity</v>
      </c>
      <c r="D98" s="113" t="s">
        <v>5806</v>
      </c>
      <c r="E98" s="113" t="s">
        <v>5807</v>
      </c>
      <c r="F98" s="248" t="s">
        <v>234</v>
      </c>
      <c r="G98" s="248"/>
      <c r="H98" s="248">
        <v>2020.0</v>
      </c>
      <c r="I98" s="248" t="s">
        <v>811</v>
      </c>
      <c r="J98" s="250" t="s">
        <v>5817</v>
      </c>
      <c r="K98" s="250" t="s">
        <v>5818</v>
      </c>
      <c r="L98" s="113" t="s">
        <v>5513</v>
      </c>
      <c r="M98" s="113"/>
      <c r="N98" s="252" t="s">
        <v>92</v>
      </c>
      <c r="O98" s="113"/>
      <c r="P98" s="113"/>
      <c r="Q98" s="113"/>
    </row>
    <row r="99" hidden="1">
      <c r="A99" s="249">
        <v>1720.0</v>
      </c>
      <c r="B99" s="259" t="s">
        <v>5819</v>
      </c>
      <c r="C99" s="113" t="str">
        <f>IFERROR(__xludf.DUMMYFUNCTION("GOOGLETRANSLATE(B99)"),"Republic of Turkey Climate Change Action Plan 2011 - 2023")</f>
        <v>Republic of Turkey Climate Change Action Plan 2011 - 2023</v>
      </c>
      <c r="D99" s="113" t="s">
        <v>5314</v>
      </c>
      <c r="E99" s="113" t="s">
        <v>5315</v>
      </c>
      <c r="F99" s="248" t="s">
        <v>234</v>
      </c>
      <c r="G99" s="248"/>
      <c r="H99" s="248">
        <v>2011.0</v>
      </c>
      <c r="I99" s="248" t="s">
        <v>5316</v>
      </c>
      <c r="J99" s="113" t="s">
        <v>5820</v>
      </c>
      <c r="K99" s="250" t="s">
        <v>5821</v>
      </c>
      <c r="L99" s="113" t="s">
        <v>5513</v>
      </c>
      <c r="M99" s="113"/>
      <c r="N99" s="113" t="s">
        <v>23</v>
      </c>
      <c r="O99" s="113"/>
      <c r="P99" s="113"/>
      <c r="Q99" s="113"/>
    </row>
    <row r="100" hidden="1">
      <c r="A100" s="249">
        <v>1720.0</v>
      </c>
      <c r="B100" s="271" t="s">
        <v>5822</v>
      </c>
      <c r="C100" s="113" t="str">
        <f>IFERROR(__xludf.DUMMYFUNCTION("GOOGLETRANSLATE(B100)"),"REPUBLIC OF TURKEY CLIMATE CHANGE ACTION PLAN 2011 - 2023")</f>
        <v>REPUBLIC OF TURKEY CLIMATE CHANGE ACTION PLAN 2011 - 2023</v>
      </c>
      <c r="D100" s="113" t="s">
        <v>5314</v>
      </c>
      <c r="E100" s="113" t="s">
        <v>5315</v>
      </c>
      <c r="F100" s="248" t="s">
        <v>234</v>
      </c>
      <c r="G100" s="248"/>
      <c r="H100" s="248">
        <v>2011.0</v>
      </c>
      <c r="I100" s="248" t="s">
        <v>24</v>
      </c>
      <c r="J100" s="113" t="s">
        <v>5823</v>
      </c>
      <c r="K100" s="250" t="s">
        <v>5824</v>
      </c>
      <c r="L100" s="113" t="s">
        <v>5513</v>
      </c>
      <c r="M100" s="113"/>
      <c r="N100" s="113" t="s">
        <v>23</v>
      </c>
      <c r="O100" s="113"/>
      <c r="P100" s="113"/>
      <c r="Q100" s="113"/>
    </row>
    <row r="101" hidden="1">
      <c r="A101" s="249">
        <v>1722.0</v>
      </c>
      <c r="B101" s="271" t="s">
        <v>5825</v>
      </c>
      <c r="C101" s="113" t="str">
        <f>IFERROR(__xludf.DUMMYFUNCTION("GOOGLETRANSLATE(B101)"),"Geothermal Resources and Natural Mineral Water Law")</f>
        <v>Geothermal Resources and Natural Mineral Water Law</v>
      </c>
      <c r="D101" s="113" t="s">
        <v>5314</v>
      </c>
      <c r="E101" s="113" t="s">
        <v>5315</v>
      </c>
      <c r="F101" s="248" t="s">
        <v>41</v>
      </c>
      <c r="G101" s="248"/>
      <c r="H101" s="248">
        <v>2007.0</v>
      </c>
      <c r="I101" s="248" t="s">
        <v>5316</v>
      </c>
      <c r="J101" s="113" t="s">
        <v>5826</v>
      </c>
      <c r="K101" s="250" t="s">
        <v>5827</v>
      </c>
      <c r="L101" s="113" t="s">
        <v>5513</v>
      </c>
      <c r="M101" s="113"/>
      <c r="N101" s="113" t="s">
        <v>23</v>
      </c>
      <c r="O101" s="113"/>
      <c r="P101" s="113"/>
      <c r="Q101" s="113"/>
    </row>
    <row r="102" hidden="1">
      <c r="A102" s="249">
        <v>1722.0</v>
      </c>
      <c r="B102" s="271" t="s">
        <v>5828</v>
      </c>
      <c r="C102" s="113" t="str">
        <f>IFERROR(__xludf.DUMMYFUNCTION("GOOGLETRANSLATE(B102)"),"LAW ON GEOTHERMAL RESOURCES AND MINERAL WATERS")</f>
        <v>LAW ON GEOTHERMAL RESOURCES AND MINERAL WATERS</v>
      </c>
      <c r="D102" s="113" t="s">
        <v>5314</v>
      </c>
      <c r="E102" s="113" t="s">
        <v>5315</v>
      </c>
      <c r="F102" s="248" t="s">
        <v>41</v>
      </c>
      <c r="G102" s="248"/>
      <c r="H102" s="248">
        <v>2007.0</v>
      </c>
      <c r="I102" s="248" t="s">
        <v>24</v>
      </c>
      <c r="J102" s="113" t="s">
        <v>5829</v>
      </c>
      <c r="K102" s="250" t="s">
        <v>5830</v>
      </c>
      <c r="L102" s="113" t="s">
        <v>5513</v>
      </c>
      <c r="M102" s="113"/>
      <c r="N102" s="113" t="s">
        <v>23</v>
      </c>
      <c r="O102" s="113"/>
      <c r="P102" s="113"/>
      <c r="Q102" s="113"/>
    </row>
    <row r="103" hidden="1">
      <c r="A103" s="249">
        <v>1723.0</v>
      </c>
      <c r="B103" s="259" t="s">
        <v>5831</v>
      </c>
      <c r="C103" s="113" t="str">
        <f>IFERROR(__xludf.DUMMYFUNCTION("GOOGLETRANSLATE(B103)"),"Law on the use of renewable energy resources for the production of electrical energy")</f>
        <v>Law on the use of renewable energy resources for the production of electrical energy</v>
      </c>
      <c r="D103" s="113" t="s">
        <v>5314</v>
      </c>
      <c r="E103" s="113" t="s">
        <v>5315</v>
      </c>
      <c r="F103" s="248" t="s">
        <v>41</v>
      </c>
      <c r="G103" s="248"/>
      <c r="H103" s="248">
        <v>2005.0</v>
      </c>
      <c r="I103" s="248" t="s">
        <v>5316</v>
      </c>
      <c r="J103" s="113" t="s">
        <v>5832</v>
      </c>
      <c r="K103" s="250" t="s">
        <v>5833</v>
      </c>
      <c r="L103" s="113" t="s">
        <v>5513</v>
      </c>
      <c r="M103" s="113"/>
      <c r="N103" s="113" t="s">
        <v>23</v>
      </c>
      <c r="O103" s="113"/>
      <c r="P103" s="113"/>
      <c r="Q103" s="113"/>
    </row>
    <row r="104" hidden="1">
      <c r="A104" s="249">
        <v>1723.0</v>
      </c>
      <c r="B104" s="271" t="s">
        <v>5834</v>
      </c>
      <c r="C104" s="113" t="str">
        <f>IFERROR(__xludf.DUMMYFUNCTION("GOOGLETRANSLATE(B104)"),"LAW ON UTILIZATION OF RENEWABLE ENERGY SOURCES FOR THE PURPOSE OF GENERATING ELECTRICAL ENERGY")</f>
        <v>LAW ON UTILIZATION OF RENEWABLE ENERGY SOURCES FOR THE PURPOSE OF GENERATING ELECTRICAL ENERGY</v>
      </c>
      <c r="D104" s="113" t="s">
        <v>5314</v>
      </c>
      <c r="E104" s="113" t="s">
        <v>5315</v>
      </c>
      <c r="F104" s="248" t="s">
        <v>41</v>
      </c>
      <c r="G104" s="248"/>
      <c r="H104" s="248">
        <v>2005.0</v>
      </c>
      <c r="I104" s="248" t="s">
        <v>24</v>
      </c>
      <c r="J104" s="113" t="s">
        <v>5835</v>
      </c>
      <c r="K104" s="250" t="s">
        <v>5836</v>
      </c>
      <c r="L104" s="113" t="s">
        <v>5513</v>
      </c>
      <c r="M104" s="113"/>
      <c r="N104" s="113" t="s">
        <v>23</v>
      </c>
      <c r="O104" s="113"/>
      <c r="P104" s="113"/>
      <c r="Q104" s="113"/>
    </row>
    <row r="105" hidden="1">
      <c r="A105" s="249">
        <v>1723.0</v>
      </c>
      <c r="B105" s="259" t="s">
        <v>5837</v>
      </c>
      <c r="C105" s="113" t="str">
        <f>IFERROR(__xludf.DUMMYFUNCTION("GOOGLETRANSLATE(B105)"),"Law on Amendment of Some Laws")</f>
        <v>Law on Amendment of Some Laws</v>
      </c>
      <c r="D105" s="113" t="s">
        <v>5314</v>
      </c>
      <c r="E105" s="113" t="s">
        <v>5315</v>
      </c>
      <c r="F105" s="248" t="s">
        <v>41</v>
      </c>
      <c r="G105" s="248"/>
      <c r="H105" s="248">
        <v>2020.0</v>
      </c>
      <c r="I105" s="248" t="s">
        <v>5316</v>
      </c>
      <c r="J105" s="113" t="s">
        <v>5838</v>
      </c>
      <c r="K105" s="250" t="s">
        <v>5839</v>
      </c>
      <c r="L105" s="113" t="s">
        <v>5513</v>
      </c>
      <c r="M105" s="113"/>
      <c r="N105" s="113" t="s">
        <v>275</v>
      </c>
      <c r="O105" s="113"/>
      <c r="P105" s="113"/>
      <c r="Q105" s="113"/>
    </row>
    <row r="106" hidden="1">
      <c r="A106" s="263">
        <v>1723.0</v>
      </c>
      <c r="B106" s="281"/>
      <c r="C106" s="113" t="str">
        <f>IFERROR(__xludf.DUMMYFUNCTION("GOOGLETRANSLATE(B106)"),"#VALUE!")</f>
        <v>#VALUE!</v>
      </c>
      <c r="D106" s="113" t="s">
        <v>5314</v>
      </c>
      <c r="E106" s="113" t="s">
        <v>5315</v>
      </c>
      <c r="F106" s="248" t="s">
        <v>41</v>
      </c>
      <c r="G106" s="248"/>
      <c r="H106" s="248">
        <v>2020.0</v>
      </c>
      <c r="I106" s="248" t="s">
        <v>5316</v>
      </c>
      <c r="J106" s="113" t="s">
        <v>5840</v>
      </c>
      <c r="K106" s="250" t="s">
        <v>5841</v>
      </c>
      <c r="L106" s="113" t="s">
        <v>5513</v>
      </c>
      <c r="M106" s="266"/>
      <c r="N106" s="266" t="s">
        <v>37</v>
      </c>
      <c r="O106" s="266"/>
      <c r="P106" s="266"/>
      <c r="Q106" s="266"/>
      <c r="R106" s="143"/>
      <c r="S106" s="143"/>
      <c r="T106" s="143"/>
      <c r="U106" s="143"/>
      <c r="V106" s="143"/>
      <c r="W106" s="143"/>
      <c r="X106" s="143"/>
      <c r="Y106" s="143"/>
      <c r="Z106" s="143"/>
      <c r="AA106" s="143"/>
      <c r="AB106" s="143"/>
    </row>
    <row r="107" hidden="1">
      <c r="A107" s="249">
        <v>1723.0</v>
      </c>
      <c r="B107" s="271" t="s">
        <v>5842</v>
      </c>
      <c r="C107" s="113" t="str">
        <f>IFERROR(__xludf.DUMMYFUNCTION("GOOGLETRANSLATE(B107)"),"LAW NO. 6094 AMENDING THE RENEWABLE ENERGY LAW")</f>
        <v>LAW NO. 6094 AMENDING THE RENEWABLE ENERGY LAW</v>
      </c>
      <c r="D107" s="113" t="s">
        <v>5314</v>
      </c>
      <c r="E107" s="113" t="s">
        <v>5315</v>
      </c>
      <c r="F107" s="248" t="s">
        <v>41</v>
      </c>
      <c r="G107" s="248"/>
      <c r="H107" s="248">
        <v>2011.0</v>
      </c>
      <c r="I107" s="248" t="s">
        <v>24</v>
      </c>
      <c r="J107" s="113" t="s">
        <v>5843</v>
      </c>
      <c r="K107" s="250" t="s">
        <v>5844</v>
      </c>
      <c r="L107" s="113" t="s">
        <v>5513</v>
      </c>
      <c r="M107" s="113"/>
      <c r="N107" s="113" t="s">
        <v>37</v>
      </c>
      <c r="O107" s="113"/>
      <c r="P107" s="113"/>
      <c r="Q107" s="113"/>
    </row>
    <row r="108" hidden="1">
      <c r="A108" s="249">
        <v>2001.0</v>
      </c>
      <c r="B108" s="271" t="s">
        <v>5845</v>
      </c>
      <c r="C108" s="113" t="str">
        <f>IFERROR(__xludf.DUMMYFUNCTION("GOOGLETRANSLATE(B108)"),"Turkey Climate Change Strategy")</f>
        <v>Turkey Climate Change Strategy</v>
      </c>
      <c r="D108" s="113" t="s">
        <v>5314</v>
      </c>
      <c r="E108" s="113" t="s">
        <v>5315</v>
      </c>
      <c r="F108" s="248" t="s">
        <v>144</v>
      </c>
      <c r="G108" s="248"/>
      <c r="H108" s="248">
        <v>2011.0</v>
      </c>
      <c r="I108" s="248" t="s">
        <v>5316</v>
      </c>
      <c r="J108" s="113" t="s">
        <v>5846</v>
      </c>
      <c r="K108" s="250" t="s">
        <v>5847</v>
      </c>
      <c r="L108" s="113" t="s">
        <v>5513</v>
      </c>
      <c r="M108" s="113"/>
      <c r="N108" s="113" t="s">
        <v>23</v>
      </c>
      <c r="O108" s="113"/>
      <c r="P108" s="113"/>
      <c r="Q108" s="113"/>
    </row>
    <row r="109" hidden="1">
      <c r="A109" s="249">
        <v>2001.0</v>
      </c>
      <c r="B109" s="271" t="s">
        <v>5848</v>
      </c>
      <c r="C109" s="113" t="str">
        <f>IFERROR(__xludf.DUMMYFUNCTION("GOOGLETRANSLATE(B109)"),"Republic of Turkey Climate Change Strategy 2010-2020")</f>
        <v>Republic of Turkey Climate Change Strategy 2010-2020</v>
      </c>
      <c r="D109" s="113" t="s">
        <v>5314</v>
      </c>
      <c r="E109" s="113" t="s">
        <v>5315</v>
      </c>
      <c r="F109" s="248" t="s">
        <v>144</v>
      </c>
      <c r="G109" s="248"/>
      <c r="H109" s="248">
        <v>2010.0</v>
      </c>
      <c r="I109" s="248" t="s">
        <v>24</v>
      </c>
      <c r="J109" s="113" t="s">
        <v>5849</v>
      </c>
      <c r="K109" s="250" t="s">
        <v>5850</v>
      </c>
      <c r="L109" s="113" t="s">
        <v>5513</v>
      </c>
      <c r="M109" s="113"/>
      <c r="N109" s="113" t="s">
        <v>23</v>
      </c>
      <c r="O109" s="113"/>
      <c r="P109" s="113"/>
      <c r="Q109" s="113"/>
    </row>
    <row r="110" hidden="1">
      <c r="A110" s="263">
        <v>8605.0</v>
      </c>
      <c r="B110" s="272"/>
      <c r="C110" s="266"/>
      <c r="D110" s="266" t="s">
        <v>5314</v>
      </c>
      <c r="E110" s="266" t="s">
        <v>5315</v>
      </c>
      <c r="F110" s="266"/>
      <c r="G110" s="266"/>
      <c r="H110" s="266"/>
      <c r="I110" s="266"/>
      <c r="J110" s="266" t="s">
        <v>5851</v>
      </c>
      <c r="K110" s="268" t="s">
        <v>5852</v>
      </c>
      <c r="L110" s="266" t="s">
        <v>5513</v>
      </c>
      <c r="M110" s="266"/>
      <c r="N110" s="269" t="s">
        <v>92</v>
      </c>
      <c r="O110" s="267" t="s">
        <v>5853</v>
      </c>
      <c r="P110" s="266"/>
      <c r="Q110" s="266"/>
      <c r="R110" s="143"/>
      <c r="S110" s="143"/>
      <c r="T110" s="143"/>
      <c r="U110" s="143"/>
      <c r="V110" s="143"/>
      <c r="W110" s="143"/>
      <c r="X110" s="143"/>
      <c r="Y110" s="143"/>
      <c r="Z110" s="143"/>
      <c r="AA110" s="143"/>
      <c r="AB110" s="143"/>
    </row>
    <row r="111" hidden="1">
      <c r="A111" s="263">
        <v>8605.0</v>
      </c>
      <c r="B111" s="281" t="s">
        <v>5854</v>
      </c>
      <c r="C111" s="266" t="str">
        <f>IFERROR(__xludf.DUMMYFUNCTION("GOOGLETRANSLATE(B111)"),"Law on Change in Some Laws")</f>
        <v>Law on Change in Some Laws</v>
      </c>
      <c r="D111" s="113" t="s">
        <v>5314</v>
      </c>
      <c r="E111" s="113" t="s">
        <v>5315</v>
      </c>
      <c r="F111" s="248" t="s">
        <v>41</v>
      </c>
      <c r="G111" s="248"/>
      <c r="H111" s="248">
        <v>2020.0</v>
      </c>
      <c r="I111" s="248" t="s">
        <v>5316</v>
      </c>
      <c r="J111" s="113" t="s">
        <v>5855</v>
      </c>
      <c r="K111" s="250" t="s">
        <v>5856</v>
      </c>
      <c r="L111" s="113" t="s">
        <v>5513</v>
      </c>
      <c r="M111" s="113"/>
      <c r="N111" s="113" t="s">
        <v>23</v>
      </c>
      <c r="O111" s="248" t="s">
        <v>5857</v>
      </c>
      <c r="P111" s="113"/>
      <c r="Q111" s="113"/>
    </row>
    <row r="112" hidden="1">
      <c r="A112" s="249">
        <v>9450.0</v>
      </c>
      <c r="B112" s="271" t="s">
        <v>5858</v>
      </c>
      <c r="C112" s="259" t="s">
        <v>5859</v>
      </c>
      <c r="D112" s="113" t="s">
        <v>5314</v>
      </c>
      <c r="E112" s="113" t="s">
        <v>5315</v>
      </c>
      <c r="F112" s="248" t="s">
        <v>34</v>
      </c>
      <c r="G112" s="248"/>
      <c r="H112" s="248">
        <v>2016.0</v>
      </c>
      <c r="I112" s="248" t="s">
        <v>5316</v>
      </c>
      <c r="J112" s="113" t="s">
        <v>5860</v>
      </c>
      <c r="K112" s="250" t="s">
        <v>5861</v>
      </c>
      <c r="L112" s="113" t="s">
        <v>5513</v>
      </c>
      <c r="M112" s="113"/>
      <c r="N112" s="113" t="s">
        <v>275</v>
      </c>
      <c r="O112" s="113"/>
      <c r="P112" s="113"/>
      <c r="Q112" s="113"/>
    </row>
    <row r="113" hidden="1">
      <c r="A113" s="249">
        <v>9450.0</v>
      </c>
      <c r="B113" s="271" t="s">
        <v>5862</v>
      </c>
      <c r="C113" s="259" t="s">
        <v>5863</v>
      </c>
      <c r="D113" s="113" t="s">
        <v>5314</v>
      </c>
      <c r="E113" s="113" t="s">
        <v>5315</v>
      </c>
      <c r="F113" s="248" t="s">
        <v>34</v>
      </c>
      <c r="G113" s="248"/>
      <c r="H113" s="248">
        <v>2020.0</v>
      </c>
      <c r="I113" s="248" t="s">
        <v>5316</v>
      </c>
      <c r="J113" s="113" t="s">
        <v>5864</v>
      </c>
      <c r="K113" s="250" t="s">
        <v>5865</v>
      </c>
      <c r="L113" s="113" t="s">
        <v>5513</v>
      </c>
      <c r="M113" s="113"/>
      <c r="N113" s="113" t="s">
        <v>275</v>
      </c>
      <c r="O113" s="113"/>
      <c r="P113" s="113"/>
      <c r="Q113" s="113"/>
    </row>
    <row r="114" hidden="1">
      <c r="A114" s="249">
        <v>10484.0</v>
      </c>
      <c r="B114" s="247"/>
      <c r="C114" s="248" t="s">
        <v>5866</v>
      </c>
      <c r="D114" s="113" t="s">
        <v>5314</v>
      </c>
      <c r="E114" s="113" t="s">
        <v>5315</v>
      </c>
      <c r="F114" s="248" t="s">
        <v>18</v>
      </c>
      <c r="G114" s="248"/>
      <c r="H114" s="248">
        <v>2019.0</v>
      </c>
      <c r="I114" s="248" t="s">
        <v>5316</v>
      </c>
      <c r="J114" s="113" t="s">
        <v>5867</v>
      </c>
      <c r="K114" s="250" t="s">
        <v>5868</v>
      </c>
      <c r="L114" s="113" t="s">
        <v>5513</v>
      </c>
      <c r="M114" s="113"/>
      <c r="N114" s="113" t="s">
        <v>23</v>
      </c>
      <c r="O114" s="113"/>
      <c r="P114" s="113"/>
      <c r="Q114" s="113"/>
    </row>
    <row r="115" hidden="1">
      <c r="A115" s="249">
        <v>10484.0</v>
      </c>
      <c r="B115" s="259" t="s">
        <v>5869</v>
      </c>
      <c r="C115" s="248" t="s">
        <v>5870</v>
      </c>
      <c r="D115" s="113" t="s">
        <v>5314</v>
      </c>
      <c r="E115" s="113" t="s">
        <v>5315</v>
      </c>
      <c r="F115" s="248" t="s">
        <v>34</v>
      </c>
      <c r="G115" s="248"/>
      <c r="H115" s="248">
        <v>2019.0</v>
      </c>
      <c r="I115" s="248" t="s">
        <v>5316</v>
      </c>
      <c r="J115" s="113" t="s">
        <v>5871</v>
      </c>
      <c r="K115" s="250" t="s">
        <v>5872</v>
      </c>
      <c r="L115" s="113" t="s">
        <v>5513</v>
      </c>
      <c r="M115" s="113"/>
      <c r="N115" s="113" t="s">
        <v>275</v>
      </c>
      <c r="O115" s="113"/>
      <c r="P115" s="113"/>
      <c r="Q115" s="113"/>
    </row>
    <row r="116">
      <c r="A116" s="263">
        <v>10060.0</v>
      </c>
      <c r="B116" s="282" t="s">
        <v>5873</v>
      </c>
      <c r="C116" s="266"/>
      <c r="D116" s="266" t="s">
        <v>4953</v>
      </c>
      <c r="E116" s="266" t="s">
        <v>4954</v>
      </c>
      <c r="F116" s="267" t="s">
        <v>295</v>
      </c>
      <c r="G116" s="267"/>
      <c r="H116" s="267">
        <v>2020.0</v>
      </c>
      <c r="I116" s="267" t="s">
        <v>24</v>
      </c>
      <c r="J116" s="266" t="s">
        <v>5874</v>
      </c>
      <c r="K116" s="268" t="s">
        <v>5875</v>
      </c>
      <c r="L116" s="266" t="s">
        <v>5513</v>
      </c>
      <c r="M116" s="266"/>
      <c r="N116" s="266" t="s">
        <v>37</v>
      </c>
      <c r="O116" s="267" t="s">
        <v>5876</v>
      </c>
      <c r="P116" s="266"/>
      <c r="Q116" s="266"/>
      <c r="R116" s="143"/>
      <c r="S116" s="143"/>
      <c r="T116" s="143"/>
      <c r="U116" s="143"/>
      <c r="V116" s="143"/>
      <c r="W116" s="143"/>
      <c r="X116" s="143"/>
      <c r="Y116" s="143"/>
      <c r="Z116" s="143"/>
      <c r="AA116" s="143"/>
      <c r="AB116" s="143"/>
    </row>
    <row r="117" hidden="1">
      <c r="A117" s="249">
        <v>10060.0</v>
      </c>
      <c r="B117" s="259" t="s">
        <v>5877</v>
      </c>
      <c r="C117" s="113"/>
      <c r="D117" s="113" t="s">
        <v>4953</v>
      </c>
      <c r="E117" s="113" t="s">
        <v>4954</v>
      </c>
      <c r="F117" s="248" t="s">
        <v>41</v>
      </c>
      <c r="G117" s="248"/>
      <c r="H117" s="248">
        <v>2019.0</v>
      </c>
      <c r="I117" s="248" t="s">
        <v>24</v>
      </c>
      <c r="J117" s="113" t="s">
        <v>5878</v>
      </c>
      <c r="K117" s="250" t="s">
        <v>5879</v>
      </c>
      <c r="L117" s="113" t="s">
        <v>5513</v>
      </c>
      <c r="M117" s="113"/>
      <c r="N117" s="113" t="s">
        <v>37</v>
      </c>
      <c r="O117" s="113"/>
      <c r="P117" s="113"/>
      <c r="Q117" s="113"/>
    </row>
    <row r="118">
      <c r="A118" s="113"/>
      <c r="B118" s="247"/>
      <c r="C118" s="113"/>
      <c r="D118" s="113"/>
      <c r="E118" s="113"/>
      <c r="F118" s="113"/>
      <c r="G118" s="113"/>
      <c r="H118" s="113"/>
      <c r="I118" s="113"/>
      <c r="J118" s="113"/>
      <c r="K118" s="113"/>
      <c r="L118" s="113"/>
      <c r="M118" s="113"/>
      <c r="N118" s="113"/>
      <c r="O118" s="113"/>
      <c r="P118" s="113"/>
      <c r="Q118" s="113"/>
    </row>
    <row r="119">
      <c r="A119" s="113"/>
      <c r="B119" s="247"/>
      <c r="C119" s="113"/>
      <c r="D119" s="113"/>
      <c r="E119" s="113"/>
      <c r="F119" s="113"/>
      <c r="G119" s="113"/>
      <c r="H119" s="113"/>
      <c r="I119" s="113"/>
      <c r="J119" s="113"/>
      <c r="K119" s="113"/>
      <c r="L119" s="113"/>
      <c r="M119" s="113"/>
      <c r="N119" s="113"/>
      <c r="O119" s="113"/>
      <c r="P119" s="113"/>
      <c r="Q119" s="113"/>
    </row>
    <row r="120">
      <c r="A120" s="113"/>
      <c r="B120" s="247"/>
      <c r="C120" s="113"/>
      <c r="D120" s="113"/>
      <c r="E120" s="113"/>
      <c r="F120" s="113"/>
      <c r="G120" s="113"/>
      <c r="H120" s="113"/>
      <c r="I120" s="113"/>
      <c r="J120" s="113"/>
      <c r="K120" s="113"/>
      <c r="L120" s="113"/>
      <c r="M120" s="113"/>
      <c r="N120" s="113"/>
      <c r="O120" s="113"/>
      <c r="P120" s="113"/>
      <c r="Q120" s="113"/>
    </row>
    <row r="121">
      <c r="A121" s="113"/>
      <c r="B121" s="247"/>
      <c r="C121" s="113"/>
      <c r="D121" s="113"/>
      <c r="E121" s="113"/>
      <c r="F121" s="113"/>
      <c r="G121" s="113"/>
      <c r="H121" s="113"/>
      <c r="I121" s="113"/>
      <c r="J121" s="113"/>
      <c r="K121" s="113"/>
      <c r="L121" s="113"/>
      <c r="M121" s="113"/>
      <c r="N121" s="113"/>
      <c r="O121" s="113"/>
      <c r="P121" s="113"/>
      <c r="Q121" s="113"/>
    </row>
    <row r="122">
      <c r="B122" s="283"/>
      <c r="G122" s="6"/>
    </row>
    <row r="123">
      <c r="B123" s="283"/>
      <c r="G123" s="6"/>
    </row>
    <row r="124">
      <c r="B124" s="283"/>
      <c r="G124" s="6"/>
    </row>
    <row r="125">
      <c r="B125" s="283"/>
      <c r="G125" s="6"/>
    </row>
    <row r="126">
      <c r="B126" s="283"/>
      <c r="G126" s="6"/>
    </row>
    <row r="127">
      <c r="B127" s="283"/>
      <c r="G127" s="6"/>
    </row>
    <row r="128">
      <c r="B128" s="283"/>
      <c r="G128" s="6"/>
    </row>
    <row r="129">
      <c r="B129" s="283"/>
      <c r="G129" s="6"/>
    </row>
    <row r="130">
      <c r="B130" s="283"/>
      <c r="G130" s="6"/>
    </row>
    <row r="131">
      <c r="B131" s="283"/>
      <c r="G131" s="6"/>
    </row>
    <row r="132">
      <c r="B132" s="283"/>
      <c r="G132" s="6"/>
    </row>
    <row r="133">
      <c r="B133" s="283"/>
      <c r="G133" s="6"/>
    </row>
    <row r="134">
      <c r="B134" s="283"/>
      <c r="G134" s="6"/>
    </row>
    <row r="135">
      <c r="B135" s="283"/>
      <c r="G135" s="6"/>
    </row>
    <row r="136">
      <c r="B136" s="283"/>
      <c r="G136" s="6"/>
    </row>
    <row r="137">
      <c r="B137" s="283"/>
      <c r="G137" s="6"/>
    </row>
    <row r="138">
      <c r="B138" s="283"/>
      <c r="G138" s="6"/>
    </row>
    <row r="139">
      <c r="B139" s="283"/>
      <c r="G139" s="6"/>
    </row>
    <row r="140">
      <c r="B140" s="283"/>
      <c r="G140" s="6"/>
    </row>
    <row r="141">
      <c r="B141" s="283"/>
      <c r="G141" s="6"/>
    </row>
    <row r="142">
      <c r="B142" s="283"/>
      <c r="G142" s="6"/>
    </row>
    <row r="143">
      <c r="B143" s="283"/>
      <c r="G143" s="6"/>
    </row>
    <row r="144">
      <c r="B144" s="283"/>
      <c r="G144" s="6"/>
    </row>
    <row r="145">
      <c r="B145" s="283"/>
      <c r="G145" s="6"/>
    </row>
    <row r="146">
      <c r="B146" s="283"/>
      <c r="G146" s="6"/>
    </row>
    <row r="147">
      <c r="B147" s="283"/>
      <c r="G147" s="6"/>
    </row>
    <row r="148">
      <c r="B148" s="283"/>
      <c r="G148" s="6"/>
    </row>
    <row r="149">
      <c r="B149" s="283"/>
      <c r="G149" s="6"/>
    </row>
    <row r="150">
      <c r="B150" s="283"/>
      <c r="G150" s="6"/>
    </row>
    <row r="151">
      <c r="B151" s="283"/>
      <c r="G151" s="6"/>
    </row>
    <row r="152">
      <c r="B152" s="283"/>
      <c r="G152" s="6"/>
    </row>
    <row r="153">
      <c r="B153" s="283"/>
      <c r="G153" s="6"/>
    </row>
    <row r="154">
      <c r="B154" s="283"/>
      <c r="G154" s="6"/>
    </row>
    <row r="155">
      <c r="B155" s="283"/>
      <c r="G155" s="6"/>
    </row>
    <row r="156">
      <c r="B156" s="283"/>
      <c r="G156" s="6"/>
    </row>
    <row r="157">
      <c r="B157" s="283"/>
      <c r="G157" s="6"/>
    </row>
    <row r="158">
      <c r="B158" s="283"/>
      <c r="G158" s="6"/>
    </row>
    <row r="159">
      <c r="B159" s="283"/>
      <c r="G159" s="6"/>
    </row>
    <row r="160">
      <c r="B160" s="283"/>
      <c r="G160" s="6"/>
    </row>
    <row r="161">
      <c r="B161" s="283"/>
      <c r="G161" s="6"/>
    </row>
    <row r="162">
      <c r="B162" s="283"/>
      <c r="G162" s="6"/>
    </row>
    <row r="163">
      <c r="B163" s="283"/>
      <c r="G163" s="6"/>
    </row>
    <row r="164">
      <c r="B164" s="283"/>
      <c r="G164" s="6"/>
    </row>
    <row r="165">
      <c r="B165" s="283"/>
      <c r="G165" s="6"/>
    </row>
    <row r="166">
      <c r="B166" s="283"/>
      <c r="G166" s="6"/>
    </row>
    <row r="167">
      <c r="B167" s="283"/>
      <c r="G167" s="6"/>
    </row>
    <row r="168">
      <c r="B168" s="283"/>
      <c r="G168" s="6"/>
    </row>
    <row r="169">
      <c r="B169" s="283"/>
      <c r="G169" s="6"/>
    </row>
    <row r="170">
      <c r="B170" s="283"/>
      <c r="G170" s="6"/>
    </row>
    <row r="171">
      <c r="B171" s="283"/>
      <c r="G171" s="6"/>
    </row>
    <row r="172">
      <c r="B172" s="283"/>
      <c r="G172" s="6"/>
    </row>
    <row r="173">
      <c r="B173" s="283"/>
      <c r="G173" s="6"/>
    </row>
    <row r="174">
      <c r="B174" s="283"/>
      <c r="G174" s="6"/>
    </row>
    <row r="175">
      <c r="B175" s="283"/>
      <c r="G175" s="6"/>
    </row>
    <row r="176">
      <c r="B176" s="283"/>
      <c r="G176" s="6"/>
    </row>
    <row r="177">
      <c r="B177" s="283"/>
      <c r="G177" s="6"/>
    </row>
    <row r="178">
      <c r="B178" s="283"/>
      <c r="G178" s="6"/>
    </row>
    <row r="179">
      <c r="B179" s="283"/>
      <c r="G179" s="6"/>
    </row>
    <row r="180">
      <c r="B180" s="283"/>
      <c r="G180" s="6"/>
    </row>
    <row r="181">
      <c r="B181" s="283"/>
      <c r="G181" s="6"/>
    </row>
    <row r="182">
      <c r="B182" s="283"/>
      <c r="G182" s="6"/>
    </row>
    <row r="183">
      <c r="B183" s="283"/>
      <c r="G183" s="6"/>
    </row>
    <row r="184">
      <c r="B184" s="283"/>
      <c r="G184" s="6"/>
    </row>
    <row r="185">
      <c r="B185" s="283"/>
      <c r="G185" s="6"/>
    </row>
    <row r="186">
      <c r="B186" s="283"/>
      <c r="G186" s="6"/>
    </row>
    <row r="187">
      <c r="B187" s="283"/>
      <c r="G187" s="6"/>
    </row>
    <row r="188">
      <c r="B188" s="283"/>
      <c r="G188" s="6"/>
    </row>
    <row r="189">
      <c r="B189" s="283"/>
      <c r="G189" s="6"/>
    </row>
    <row r="190">
      <c r="B190" s="283"/>
      <c r="G190" s="6"/>
    </row>
    <row r="191">
      <c r="B191" s="283"/>
      <c r="G191" s="6"/>
    </row>
    <row r="192">
      <c r="B192" s="283"/>
      <c r="G192" s="6"/>
    </row>
    <row r="193">
      <c r="B193" s="283"/>
      <c r="G193" s="6"/>
    </row>
    <row r="194">
      <c r="B194" s="283"/>
      <c r="G194" s="6"/>
    </row>
    <row r="195">
      <c r="B195" s="283"/>
      <c r="G195" s="6"/>
    </row>
    <row r="196">
      <c r="B196" s="283"/>
      <c r="G196" s="6"/>
    </row>
    <row r="197">
      <c r="B197" s="283"/>
      <c r="G197" s="6"/>
    </row>
    <row r="198">
      <c r="B198" s="283"/>
      <c r="G198" s="6"/>
    </row>
    <row r="199">
      <c r="B199" s="283"/>
      <c r="G199" s="6"/>
    </row>
    <row r="200">
      <c r="B200" s="283"/>
      <c r="G200" s="6"/>
    </row>
    <row r="201">
      <c r="B201" s="283"/>
      <c r="G201" s="6"/>
    </row>
    <row r="202">
      <c r="B202" s="283"/>
      <c r="G202" s="6"/>
    </row>
    <row r="203">
      <c r="B203" s="283"/>
      <c r="G203" s="6"/>
    </row>
    <row r="204">
      <c r="B204" s="283"/>
      <c r="G204" s="6"/>
    </row>
    <row r="205">
      <c r="B205" s="283"/>
      <c r="G205" s="6"/>
    </row>
    <row r="206">
      <c r="B206" s="283"/>
      <c r="G206" s="6"/>
    </row>
    <row r="207">
      <c r="B207" s="283"/>
      <c r="G207" s="6"/>
    </row>
    <row r="208">
      <c r="B208" s="283"/>
      <c r="G208" s="6"/>
    </row>
    <row r="209">
      <c r="B209" s="283"/>
      <c r="G209" s="6"/>
    </row>
    <row r="210">
      <c r="B210" s="283"/>
      <c r="G210" s="6"/>
    </row>
    <row r="211">
      <c r="B211" s="283"/>
      <c r="G211" s="6"/>
    </row>
    <row r="212">
      <c r="B212" s="283"/>
      <c r="G212" s="6"/>
    </row>
    <row r="213">
      <c r="B213" s="283"/>
      <c r="G213" s="6"/>
    </row>
    <row r="214">
      <c r="B214" s="283"/>
      <c r="G214" s="6"/>
    </row>
    <row r="215">
      <c r="B215" s="283"/>
      <c r="G215" s="6"/>
    </row>
    <row r="216">
      <c r="B216" s="283"/>
      <c r="G216" s="6"/>
    </row>
    <row r="217">
      <c r="B217" s="283"/>
      <c r="G217" s="6"/>
    </row>
    <row r="218">
      <c r="B218" s="283"/>
      <c r="G218" s="6"/>
    </row>
    <row r="219">
      <c r="B219" s="283"/>
      <c r="G219" s="6"/>
    </row>
    <row r="220">
      <c r="B220" s="283"/>
      <c r="G220" s="6"/>
    </row>
    <row r="221">
      <c r="B221" s="283"/>
      <c r="G221" s="6"/>
    </row>
    <row r="222">
      <c r="B222" s="283"/>
      <c r="G222" s="6"/>
    </row>
    <row r="223">
      <c r="B223" s="283"/>
      <c r="G223" s="6"/>
    </row>
    <row r="224">
      <c r="B224" s="283"/>
      <c r="G224" s="6"/>
    </row>
    <row r="225">
      <c r="B225" s="283"/>
      <c r="G225" s="6"/>
    </row>
    <row r="226">
      <c r="B226" s="283"/>
      <c r="G226" s="6"/>
    </row>
    <row r="227">
      <c r="B227" s="283"/>
      <c r="G227" s="6"/>
    </row>
    <row r="228">
      <c r="B228" s="283"/>
      <c r="G228" s="6"/>
    </row>
    <row r="229">
      <c r="B229" s="283"/>
      <c r="G229" s="6"/>
    </row>
    <row r="230">
      <c r="B230" s="283"/>
      <c r="G230" s="6"/>
    </row>
    <row r="231">
      <c r="B231" s="283"/>
      <c r="G231" s="6"/>
    </row>
    <row r="232">
      <c r="B232" s="283"/>
      <c r="G232" s="6"/>
    </row>
    <row r="233">
      <c r="B233" s="283"/>
      <c r="G233" s="6"/>
    </row>
    <row r="234">
      <c r="B234" s="283"/>
      <c r="G234" s="6"/>
    </row>
    <row r="235">
      <c r="B235" s="283"/>
      <c r="G235" s="6"/>
    </row>
    <row r="236">
      <c r="B236" s="283"/>
      <c r="G236" s="6"/>
    </row>
    <row r="237">
      <c r="B237" s="283"/>
      <c r="G237" s="6"/>
    </row>
    <row r="238">
      <c r="B238" s="283"/>
      <c r="G238" s="6"/>
    </row>
    <row r="239">
      <c r="B239" s="283"/>
      <c r="G239" s="6"/>
    </row>
    <row r="240">
      <c r="B240" s="283"/>
      <c r="G240" s="6"/>
    </row>
    <row r="241">
      <c r="B241" s="283"/>
      <c r="G241" s="6"/>
    </row>
    <row r="242">
      <c r="B242" s="283"/>
      <c r="G242" s="6"/>
    </row>
    <row r="243">
      <c r="B243" s="283"/>
      <c r="G243" s="6"/>
    </row>
    <row r="244">
      <c r="B244" s="283"/>
      <c r="G244" s="6"/>
    </row>
    <row r="245">
      <c r="B245" s="283"/>
      <c r="G245" s="6"/>
    </row>
    <row r="246">
      <c r="B246" s="283"/>
      <c r="G246" s="6"/>
    </row>
    <row r="247">
      <c r="B247" s="283"/>
      <c r="G247" s="6"/>
    </row>
    <row r="248">
      <c r="B248" s="283"/>
      <c r="G248" s="6"/>
    </row>
    <row r="249">
      <c r="B249" s="283"/>
      <c r="G249" s="6"/>
    </row>
    <row r="250">
      <c r="B250" s="283"/>
      <c r="G250" s="6"/>
    </row>
    <row r="251">
      <c r="B251" s="283"/>
      <c r="G251" s="6"/>
    </row>
    <row r="252">
      <c r="B252" s="283"/>
      <c r="G252" s="6"/>
    </row>
    <row r="253">
      <c r="B253" s="283"/>
      <c r="G253" s="6"/>
    </row>
    <row r="254">
      <c r="B254" s="283"/>
      <c r="G254" s="6"/>
    </row>
    <row r="255">
      <c r="B255" s="283"/>
      <c r="G255" s="6"/>
    </row>
    <row r="256">
      <c r="B256" s="283"/>
      <c r="G256" s="6"/>
    </row>
    <row r="257">
      <c r="B257" s="283"/>
      <c r="G257" s="6"/>
    </row>
    <row r="258">
      <c r="B258" s="283"/>
      <c r="G258" s="6"/>
    </row>
    <row r="259">
      <c r="B259" s="283"/>
      <c r="G259" s="6"/>
    </row>
    <row r="260">
      <c r="B260" s="283"/>
      <c r="G260" s="6"/>
    </row>
    <row r="261">
      <c r="B261" s="283"/>
      <c r="G261" s="6"/>
    </row>
    <row r="262">
      <c r="B262" s="283"/>
      <c r="G262" s="6"/>
    </row>
    <row r="263">
      <c r="B263" s="283"/>
      <c r="G263" s="6"/>
    </row>
    <row r="264">
      <c r="B264" s="283"/>
      <c r="G264" s="6"/>
    </row>
    <row r="265">
      <c r="B265" s="283"/>
      <c r="G265" s="6"/>
    </row>
    <row r="266">
      <c r="B266" s="283"/>
      <c r="G266" s="6"/>
    </row>
    <row r="267">
      <c r="B267" s="283"/>
      <c r="G267" s="6"/>
    </row>
    <row r="268">
      <c r="B268" s="283"/>
      <c r="G268" s="6"/>
    </row>
    <row r="269">
      <c r="B269" s="283"/>
      <c r="G269" s="6"/>
    </row>
    <row r="270">
      <c r="B270" s="283"/>
      <c r="G270" s="6"/>
    </row>
    <row r="271">
      <c r="B271" s="283"/>
      <c r="G271" s="6"/>
    </row>
    <row r="272">
      <c r="B272" s="283"/>
      <c r="G272" s="6"/>
    </row>
    <row r="273">
      <c r="B273" s="283"/>
      <c r="G273" s="6"/>
    </row>
    <row r="274">
      <c r="B274" s="283"/>
      <c r="G274" s="6"/>
    </row>
    <row r="275">
      <c r="B275" s="283"/>
      <c r="G275" s="6"/>
    </row>
    <row r="276">
      <c r="B276" s="283"/>
      <c r="G276" s="6"/>
    </row>
    <row r="277">
      <c r="B277" s="283"/>
      <c r="G277" s="6"/>
    </row>
    <row r="278">
      <c r="B278" s="283"/>
      <c r="G278" s="6"/>
    </row>
    <row r="279">
      <c r="B279" s="283"/>
      <c r="G279" s="6"/>
    </row>
    <row r="280">
      <c r="B280" s="283"/>
      <c r="G280" s="6"/>
    </row>
    <row r="281">
      <c r="B281" s="283"/>
      <c r="G281" s="6"/>
    </row>
    <row r="282">
      <c r="B282" s="283"/>
      <c r="G282" s="6"/>
    </row>
    <row r="283">
      <c r="B283" s="283"/>
      <c r="G283" s="6"/>
    </row>
    <row r="284">
      <c r="B284" s="283"/>
      <c r="G284" s="6"/>
    </row>
    <row r="285">
      <c r="B285" s="283"/>
      <c r="G285" s="6"/>
    </row>
    <row r="286">
      <c r="B286" s="283"/>
      <c r="G286" s="6"/>
    </row>
    <row r="287">
      <c r="B287" s="283"/>
      <c r="G287" s="6"/>
    </row>
    <row r="288">
      <c r="B288" s="283"/>
      <c r="G288" s="6"/>
    </row>
    <row r="289">
      <c r="B289" s="283"/>
      <c r="G289" s="6"/>
    </row>
    <row r="290">
      <c r="B290" s="283"/>
      <c r="G290" s="6"/>
    </row>
    <row r="291">
      <c r="B291" s="283"/>
      <c r="G291" s="6"/>
    </row>
    <row r="292">
      <c r="B292" s="283"/>
      <c r="G292" s="6"/>
    </row>
    <row r="293">
      <c r="B293" s="283"/>
      <c r="G293" s="6"/>
    </row>
    <row r="294">
      <c r="B294" s="283"/>
      <c r="G294" s="6"/>
    </row>
    <row r="295">
      <c r="B295" s="283"/>
      <c r="G295" s="6"/>
    </row>
    <row r="296">
      <c r="B296" s="283"/>
      <c r="G296" s="6"/>
    </row>
    <row r="297">
      <c r="B297" s="283"/>
      <c r="G297" s="6"/>
    </row>
    <row r="298">
      <c r="B298" s="283"/>
      <c r="G298" s="6"/>
    </row>
    <row r="299">
      <c r="B299" s="283"/>
      <c r="G299" s="6"/>
    </row>
    <row r="300">
      <c r="B300" s="283"/>
      <c r="G300" s="6"/>
    </row>
    <row r="301">
      <c r="B301" s="283"/>
      <c r="G301" s="6"/>
    </row>
    <row r="302">
      <c r="B302" s="283"/>
      <c r="G302" s="6"/>
    </row>
    <row r="303">
      <c r="B303" s="283"/>
      <c r="G303" s="6"/>
    </row>
    <row r="304">
      <c r="B304" s="283"/>
      <c r="G304" s="6"/>
    </row>
    <row r="305">
      <c r="B305" s="283"/>
      <c r="G305" s="6"/>
    </row>
    <row r="306">
      <c r="B306" s="283"/>
      <c r="G306" s="6"/>
    </row>
    <row r="307">
      <c r="B307" s="283"/>
      <c r="G307" s="6"/>
    </row>
    <row r="308">
      <c r="B308" s="283"/>
      <c r="G308" s="6"/>
    </row>
    <row r="309">
      <c r="B309" s="283"/>
      <c r="G309" s="6"/>
    </row>
    <row r="310">
      <c r="B310" s="283"/>
      <c r="G310" s="6"/>
    </row>
    <row r="311">
      <c r="B311" s="283"/>
      <c r="G311" s="6"/>
    </row>
    <row r="312">
      <c r="B312" s="283"/>
      <c r="G312" s="6"/>
    </row>
    <row r="313">
      <c r="B313" s="283"/>
      <c r="G313" s="6"/>
    </row>
    <row r="314">
      <c r="B314" s="283"/>
      <c r="G314" s="6"/>
    </row>
    <row r="315">
      <c r="B315" s="283"/>
      <c r="G315" s="6"/>
    </row>
    <row r="316">
      <c r="B316" s="283"/>
      <c r="G316" s="6"/>
    </row>
    <row r="317">
      <c r="B317" s="283"/>
      <c r="G317" s="6"/>
    </row>
    <row r="318">
      <c r="B318" s="283"/>
      <c r="G318" s="6"/>
    </row>
    <row r="319">
      <c r="B319" s="283"/>
      <c r="G319" s="6"/>
    </row>
    <row r="320">
      <c r="B320" s="283"/>
      <c r="G320" s="6"/>
    </row>
    <row r="321">
      <c r="B321" s="283"/>
      <c r="G321" s="6"/>
    </row>
    <row r="322">
      <c r="B322" s="283"/>
      <c r="G322" s="6"/>
    </row>
    <row r="323">
      <c r="B323" s="283"/>
      <c r="G323" s="6"/>
    </row>
    <row r="324">
      <c r="B324" s="283"/>
      <c r="G324" s="6"/>
    </row>
    <row r="325">
      <c r="B325" s="283"/>
      <c r="G325" s="6"/>
    </row>
    <row r="326">
      <c r="B326" s="283"/>
      <c r="G326" s="6"/>
    </row>
    <row r="327">
      <c r="B327" s="283"/>
      <c r="G327" s="6"/>
    </row>
    <row r="328">
      <c r="B328" s="283"/>
      <c r="G328" s="6"/>
    </row>
    <row r="329">
      <c r="B329" s="283"/>
      <c r="G329" s="6"/>
    </row>
    <row r="330">
      <c r="B330" s="283"/>
      <c r="G330" s="6"/>
    </row>
    <row r="331">
      <c r="B331" s="283"/>
      <c r="G331" s="6"/>
    </row>
    <row r="332">
      <c r="B332" s="283"/>
      <c r="G332" s="6"/>
    </row>
    <row r="333">
      <c r="B333" s="283"/>
      <c r="G333" s="6"/>
    </row>
    <row r="334">
      <c r="B334" s="283"/>
      <c r="G334" s="6"/>
    </row>
    <row r="335">
      <c r="B335" s="283"/>
      <c r="G335" s="6"/>
    </row>
    <row r="336">
      <c r="B336" s="283"/>
      <c r="G336" s="6"/>
    </row>
    <row r="337">
      <c r="B337" s="283"/>
      <c r="G337" s="6"/>
    </row>
    <row r="338">
      <c r="B338" s="283"/>
      <c r="G338" s="6"/>
    </row>
    <row r="339">
      <c r="B339" s="283"/>
      <c r="G339" s="6"/>
    </row>
    <row r="340">
      <c r="B340" s="283"/>
      <c r="G340" s="6"/>
    </row>
    <row r="341">
      <c r="B341" s="283"/>
      <c r="G341" s="6"/>
    </row>
    <row r="342">
      <c r="B342" s="283"/>
      <c r="G342" s="6"/>
    </row>
    <row r="343">
      <c r="B343" s="283"/>
      <c r="G343" s="6"/>
    </row>
    <row r="344">
      <c r="B344" s="283"/>
      <c r="G344" s="6"/>
    </row>
    <row r="345">
      <c r="B345" s="283"/>
      <c r="G345" s="6"/>
    </row>
    <row r="346">
      <c r="B346" s="283"/>
      <c r="G346" s="6"/>
    </row>
    <row r="347">
      <c r="B347" s="283"/>
      <c r="G347" s="6"/>
    </row>
    <row r="348">
      <c r="B348" s="283"/>
      <c r="G348" s="6"/>
    </row>
    <row r="349">
      <c r="B349" s="283"/>
      <c r="G349" s="6"/>
    </row>
    <row r="350">
      <c r="B350" s="283"/>
      <c r="G350" s="6"/>
    </row>
    <row r="351">
      <c r="B351" s="283"/>
      <c r="G351" s="6"/>
    </row>
    <row r="352">
      <c r="B352" s="283"/>
      <c r="G352" s="6"/>
    </row>
    <row r="353">
      <c r="B353" s="283"/>
      <c r="G353" s="6"/>
    </row>
    <row r="354">
      <c r="B354" s="283"/>
      <c r="G354" s="6"/>
    </row>
    <row r="355">
      <c r="B355" s="283"/>
      <c r="G355" s="6"/>
    </row>
    <row r="356">
      <c r="B356" s="283"/>
      <c r="G356" s="6"/>
    </row>
    <row r="357">
      <c r="B357" s="283"/>
      <c r="G357" s="6"/>
    </row>
    <row r="358">
      <c r="B358" s="283"/>
      <c r="G358" s="6"/>
    </row>
    <row r="359">
      <c r="B359" s="283"/>
      <c r="G359" s="6"/>
    </row>
    <row r="360">
      <c r="B360" s="283"/>
      <c r="G360" s="6"/>
    </row>
    <row r="361">
      <c r="B361" s="283"/>
      <c r="G361" s="6"/>
    </row>
    <row r="362">
      <c r="B362" s="283"/>
      <c r="G362" s="6"/>
    </row>
    <row r="363">
      <c r="B363" s="283"/>
      <c r="G363" s="6"/>
    </row>
    <row r="364">
      <c r="B364" s="283"/>
      <c r="G364" s="6"/>
    </row>
    <row r="365">
      <c r="B365" s="283"/>
      <c r="G365" s="6"/>
    </row>
    <row r="366">
      <c r="B366" s="283"/>
      <c r="G366" s="6"/>
    </row>
    <row r="367">
      <c r="B367" s="283"/>
      <c r="G367" s="6"/>
    </row>
    <row r="368">
      <c r="B368" s="283"/>
      <c r="G368" s="6"/>
    </row>
    <row r="369">
      <c r="B369" s="283"/>
      <c r="G369" s="6"/>
    </row>
    <row r="370">
      <c r="B370" s="283"/>
      <c r="G370" s="6"/>
    </row>
    <row r="371">
      <c r="B371" s="283"/>
      <c r="G371" s="6"/>
    </row>
    <row r="372">
      <c r="B372" s="283"/>
      <c r="G372" s="6"/>
    </row>
    <row r="373">
      <c r="B373" s="283"/>
      <c r="G373" s="6"/>
    </row>
    <row r="374">
      <c r="B374" s="283"/>
      <c r="G374" s="6"/>
    </row>
    <row r="375">
      <c r="B375" s="283"/>
      <c r="G375" s="6"/>
    </row>
    <row r="376">
      <c r="B376" s="283"/>
      <c r="G376" s="6"/>
    </row>
    <row r="377">
      <c r="B377" s="283"/>
      <c r="G377" s="6"/>
    </row>
    <row r="378">
      <c r="B378" s="283"/>
      <c r="G378" s="6"/>
    </row>
    <row r="379">
      <c r="B379" s="283"/>
      <c r="G379" s="6"/>
    </row>
    <row r="380">
      <c r="B380" s="283"/>
      <c r="G380" s="6"/>
    </row>
    <row r="381">
      <c r="B381" s="283"/>
      <c r="G381" s="6"/>
    </row>
    <row r="382">
      <c r="B382" s="283"/>
      <c r="G382" s="6"/>
    </row>
    <row r="383">
      <c r="B383" s="283"/>
      <c r="G383" s="6"/>
    </row>
    <row r="384">
      <c r="B384" s="283"/>
      <c r="G384" s="6"/>
    </row>
    <row r="385">
      <c r="B385" s="283"/>
      <c r="G385" s="6"/>
    </row>
    <row r="386">
      <c r="B386" s="283"/>
      <c r="G386" s="6"/>
    </row>
    <row r="387">
      <c r="B387" s="283"/>
      <c r="G387" s="6"/>
    </row>
    <row r="388">
      <c r="B388" s="283"/>
      <c r="G388" s="6"/>
    </row>
    <row r="389">
      <c r="B389" s="283"/>
      <c r="G389" s="6"/>
    </row>
    <row r="390">
      <c r="B390" s="283"/>
      <c r="G390" s="6"/>
    </row>
    <row r="391">
      <c r="B391" s="283"/>
      <c r="G391" s="6"/>
    </row>
    <row r="392">
      <c r="B392" s="283"/>
      <c r="G392" s="6"/>
    </row>
    <row r="393">
      <c r="B393" s="283"/>
      <c r="G393" s="6"/>
    </row>
    <row r="394">
      <c r="B394" s="283"/>
      <c r="G394" s="6"/>
    </row>
    <row r="395">
      <c r="B395" s="283"/>
      <c r="G395" s="6"/>
    </row>
    <row r="396">
      <c r="B396" s="283"/>
      <c r="G396" s="6"/>
    </row>
    <row r="397">
      <c r="B397" s="283"/>
      <c r="G397" s="6"/>
    </row>
    <row r="398">
      <c r="B398" s="283"/>
      <c r="G398" s="6"/>
    </row>
    <row r="399">
      <c r="B399" s="283"/>
      <c r="G399" s="6"/>
    </row>
    <row r="400">
      <c r="B400" s="283"/>
      <c r="G400" s="6"/>
    </row>
    <row r="401">
      <c r="B401" s="283"/>
      <c r="G401" s="6"/>
    </row>
    <row r="402">
      <c r="B402" s="283"/>
      <c r="G402" s="6"/>
    </row>
    <row r="403">
      <c r="B403" s="283"/>
      <c r="G403" s="6"/>
    </row>
    <row r="404">
      <c r="B404" s="283"/>
      <c r="G404" s="6"/>
    </row>
    <row r="405">
      <c r="B405" s="283"/>
      <c r="G405" s="6"/>
    </row>
    <row r="406">
      <c r="B406" s="283"/>
      <c r="G406" s="6"/>
    </row>
    <row r="407">
      <c r="B407" s="283"/>
      <c r="G407" s="6"/>
    </row>
    <row r="408">
      <c r="B408" s="283"/>
      <c r="G408" s="6"/>
    </row>
    <row r="409">
      <c r="B409" s="283"/>
      <c r="G409" s="6"/>
    </row>
    <row r="410">
      <c r="B410" s="283"/>
      <c r="G410" s="6"/>
    </row>
    <row r="411">
      <c r="B411" s="283"/>
      <c r="G411" s="6"/>
    </row>
    <row r="412">
      <c r="B412" s="283"/>
      <c r="G412" s="6"/>
    </row>
    <row r="413">
      <c r="B413" s="283"/>
      <c r="G413" s="6"/>
    </row>
    <row r="414">
      <c r="B414" s="283"/>
      <c r="G414" s="6"/>
    </row>
    <row r="415">
      <c r="B415" s="283"/>
      <c r="G415" s="6"/>
    </row>
    <row r="416">
      <c r="B416" s="283"/>
      <c r="G416" s="6"/>
    </row>
    <row r="417">
      <c r="B417" s="283"/>
      <c r="G417" s="6"/>
    </row>
    <row r="418">
      <c r="B418" s="283"/>
      <c r="G418" s="6"/>
    </row>
    <row r="419">
      <c r="B419" s="283"/>
      <c r="G419" s="6"/>
    </row>
    <row r="420">
      <c r="B420" s="283"/>
      <c r="G420" s="6"/>
    </row>
    <row r="421">
      <c r="B421" s="283"/>
      <c r="G421" s="6"/>
    </row>
    <row r="422">
      <c r="B422" s="283"/>
      <c r="G422" s="6"/>
    </row>
    <row r="423">
      <c r="B423" s="283"/>
      <c r="G423" s="6"/>
    </row>
    <row r="424">
      <c r="B424" s="283"/>
      <c r="G424" s="6"/>
    </row>
    <row r="425">
      <c r="B425" s="283"/>
      <c r="G425" s="6"/>
    </row>
    <row r="426">
      <c r="B426" s="283"/>
      <c r="G426" s="6"/>
    </row>
    <row r="427">
      <c r="B427" s="283"/>
      <c r="G427" s="6"/>
    </row>
    <row r="428">
      <c r="B428" s="283"/>
      <c r="G428" s="6"/>
    </row>
    <row r="429">
      <c r="B429" s="283"/>
      <c r="G429" s="6"/>
    </row>
    <row r="430">
      <c r="B430" s="283"/>
      <c r="G430" s="6"/>
    </row>
    <row r="431">
      <c r="B431" s="283"/>
      <c r="G431" s="6"/>
    </row>
    <row r="432">
      <c r="B432" s="283"/>
      <c r="G432" s="6"/>
    </row>
    <row r="433">
      <c r="B433" s="283"/>
      <c r="G433" s="6"/>
    </row>
    <row r="434">
      <c r="B434" s="283"/>
      <c r="G434" s="6"/>
    </row>
    <row r="435">
      <c r="B435" s="283"/>
      <c r="G435" s="6"/>
    </row>
    <row r="436">
      <c r="B436" s="283"/>
      <c r="G436" s="6"/>
    </row>
    <row r="437">
      <c r="B437" s="283"/>
      <c r="G437" s="6"/>
    </row>
    <row r="438">
      <c r="B438" s="283"/>
      <c r="G438" s="6"/>
    </row>
    <row r="439">
      <c r="B439" s="283"/>
      <c r="G439" s="6"/>
    </row>
    <row r="440">
      <c r="B440" s="283"/>
      <c r="G440" s="6"/>
    </row>
    <row r="441">
      <c r="B441" s="283"/>
      <c r="G441" s="6"/>
    </row>
    <row r="442">
      <c r="B442" s="283"/>
      <c r="G442" s="6"/>
    </row>
    <row r="443">
      <c r="B443" s="283"/>
      <c r="G443" s="6"/>
    </row>
    <row r="444">
      <c r="B444" s="283"/>
      <c r="G444" s="6"/>
    </row>
    <row r="445">
      <c r="B445" s="283"/>
      <c r="G445" s="6"/>
    </row>
    <row r="446">
      <c r="B446" s="283"/>
      <c r="G446" s="6"/>
    </row>
    <row r="447">
      <c r="B447" s="283"/>
      <c r="G447" s="6"/>
    </row>
    <row r="448">
      <c r="B448" s="283"/>
      <c r="G448" s="6"/>
    </row>
    <row r="449">
      <c r="B449" s="283"/>
      <c r="G449" s="6"/>
    </row>
    <row r="450">
      <c r="B450" s="283"/>
      <c r="G450" s="6"/>
    </row>
    <row r="451">
      <c r="B451" s="283"/>
      <c r="G451" s="6"/>
    </row>
    <row r="452">
      <c r="B452" s="283"/>
      <c r="G452" s="6"/>
    </row>
    <row r="453">
      <c r="B453" s="283"/>
      <c r="G453" s="6"/>
    </row>
    <row r="454">
      <c r="B454" s="283"/>
      <c r="G454" s="6"/>
    </row>
    <row r="455">
      <c r="B455" s="283"/>
      <c r="G455" s="6"/>
    </row>
    <row r="456">
      <c r="B456" s="283"/>
      <c r="G456" s="6"/>
    </row>
    <row r="457">
      <c r="B457" s="283"/>
      <c r="G457" s="6"/>
    </row>
    <row r="458">
      <c r="B458" s="283"/>
      <c r="G458" s="6"/>
    </row>
    <row r="459">
      <c r="B459" s="283"/>
      <c r="G459" s="6"/>
    </row>
    <row r="460">
      <c r="B460" s="283"/>
      <c r="G460" s="6"/>
    </row>
    <row r="461">
      <c r="B461" s="283"/>
      <c r="G461" s="6"/>
    </row>
    <row r="462">
      <c r="B462" s="283"/>
      <c r="G462" s="6"/>
    </row>
    <row r="463">
      <c r="B463" s="283"/>
      <c r="G463" s="6"/>
    </row>
    <row r="464">
      <c r="B464" s="283"/>
      <c r="G464" s="6"/>
    </row>
    <row r="465">
      <c r="B465" s="283"/>
      <c r="G465" s="6"/>
    </row>
    <row r="466">
      <c r="B466" s="283"/>
      <c r="G466" s="6"/>
    </row>
    <row r="467">
      <c r="B467" s="283"/>
      <c r="G467" s="6"/>
    </row>
    <row r="468">
      <c r="B468" s="283"/>
      <c r="G468" s="6"/>
    </row>
    <row r="469">
      <c r="B469" s="283"/>
      <c r="G469" s="6"/>
    </row>
    <row r="470">
      <c r="B470" s="283"/>
      <c r="G470" s="6"/>
    </row>
    <row r="471">
      <c r="B471" s="283"/>
      <c r="G471" s="6"/>
    </row>
    <row r="472">
      <c r="B472" s="283"/>
      <c r="G472" s="6"/>
    </row>
    <row r="473">
      <c r="B473" s="283"/>
      <c r="G473" s="6"/>
    </row>
    <row r="474">
      <c r="B474" s="283"/>
      <c r="G474" s="6"/>
    </row>
    <row r="475">
      <c r="B475" s="283"/>
      <c r="G475" s="6"/>
    </row>
    <row r="476">
      <c r="B476" s="283"/>
      <c r="G476" s="6"/>
    </row>
    <row r="477">
      <c r="B477" s="283"/>
      <c r="G477" s="6"/>
    </row>
    <row r="478">
      <c r="B478" s="283"/>
      <c r="G478" s="6"/>
    </row>
    <row r="479">
      <c r="B479" s="283"/>
      <c r="G479" s="6"/>
    </row>
    <row r="480">
      <c r="B480" s="283"/>
      <c r="G480" s="6"/>
    </row>
    <row r="481">
      <c r="B481" s="283"/>
      <c r="G481" s="6"/>
    </row>
    <row r="482">
      <c r="B482" s="283"/>
      <c r="G482" s="6"/>
    </row>
    <row r="483">
      <c r="B483" s="283"/>
      <c r="G483" s="6"/>
    </row>
    <row r="484">
      <c r="B484" s="283"/>
      <c r="G484" s="6"/>
    </row>
    <row r="485">
      <c r="B485" s="283"/>
      <c r="G485" s="6"/>
    </row>
    <row r="486">
      <c r="B486" s="283"/>
      <c r="G486" s="6"/>
    </row>
    <row r="487">
      <c r="B487" s="283"/>
      <c r="G487" s="6"/>
    </row>
    <row r="488">
      <c r="B488" s="283"/>
      <c r="G488" s="6"/>
    </row>
    <row r="489">
      <c r="B489" s="283"/>
      <c r="G489" s="6"/>
    </row>
    <row r="490">
      <c r="B490" s="283"/>
      <c r="G490" s="6"/>
    </row>
    <row r="491">
      <c r="B491" s="283"/>
      <c r="G491" s="6"/>
    </row>
    <row r="492">
      <c r="B492" s="283"/>
      <c r="G492" s="6"/>
    </row>
    <row r="493">
      <c r="B493" s="283"/>
      <c r="G493" s="6"/>
    </row>
    <row r="494">
      <c r="B494" s="283"/>
      <c r="G494" s="6"/>
    </row>
    <row r="495">
      <c r="B495" s="283"/>
      <c r="G495" s="6"/>
    </row>
    <row r="496">
      <c r="B496" s="283"/>
      <c r="G496" s="6"/>
    </row>
    <row r="497">
      <c r="B497" s="283"/>
      <c r="G497" s="6"/>
    </row>
    <row r="498">
      <c r="B498" s="283"/>
      <c r="G498" s="6"/>
    </row>
    <row r="499">
      <c r="B499" s="283"/>
      <c r="G499" s="6"/>
    </row>
    <row r="500">
      <c r="B500" s="283"/>
      <c r="G500" s="6"/>
    </row>
    <row r="501">
      <c r="B501" s="283"/>
      <c r="G501" s="6"/>
    </row>
    <row r="502">
      <c r="B502" s="283"/>
      <c r="G502" s="6"/>
    </row>
    <row r="503">
      <c r="B503" s="283"/>
      <c r="G503" s="6"/>
    </row>
    <row r="504">
      <c r="B504" s="283"/>
      <c r="G504" s="6"/>
    </row>
    <row r="505">
      <c r="B505" s="283"/>
      <c r="G505" s="6"/>
    </row>
    <row r="506">
      <c r="B506" s="283"/>
      <c r="G506" s="6"/>
    </row>
    <row r="507">
      <c r="B507" s="283"/>
      <c r="G507" s="6"/>
    </row>
    <row r="508">
      <c r="B508" s="283"/>
      <c r="G508" s="6"/>
    </row>
    <row r="509">
      <c r="B509" s="283"/>
      <c r="G509" s="6"/>
    </row>
    <row r="510">
      <c r="B510" s="283"/>
      <c r="G510" s="6"/>
    </row>
    <row r="511">
      <c r="B511" s="283"/>
      <c r="G511" s="6"/>
    </row>
    <row r="512">
      <c r="B512" s="283"/>
      <c r="G512" s="6"/>
    </row>
    <row r="513">
      <c r="B513" s="283"/>
      <c r="G513" s="6"/>
    </row>
    <row r="514">
      <c r="B514" s="283"/>
      <c r="G514" s="6"/>
    </row>
    <row r="515">
      <c r="B515" s="283"/>
      <c r="G515" s="6"/>
    </row>
    <row r="516">
      <c r="B516" s="283"/>
      <c r="G516" s="6"/>
    </row>
    <row r="517">
      <c r="B517" s="283"/>
      <c r="G517" s="6"/>
    </row>
    <row r="518">
      <c r="B518" s="283"/>
      <c r="G518" s="6"/>
    </row>
    <row r="519">
      <c r="B519" s="283"/>
      <c r="G519" s="6"/>
    </row>
    <row r="520">
      <c r="B520" s="283"/>
      <c r="G520" s="6"/>
    </row>
    <row r="521">
      <c r="B521" s="283"/>
      <c r="G521" s="6"/>
    </row>
    <row r="522">
      <c r="B522" s="283"/>
      <c r="G522" s="6"/>
    </row>
    <row r="523">
      <c r="B523" s="283"/>
      <c r="G523" s="6"/>
    </row>
    <row r="524">
      <c r="B524" s="283"/>
      <c r="G524" s="6"/>
    </row>
    <row r="525">
      <c r="B525" s="283"/>
      <c r="G525" s="6"/>
    </row>
    <row r="526">
      <c r="B526" s="283"/>
      <c r="G526" s="6"/>
    </row>
    <row r="527">
      <c r="B527" s="283"/>
      <c r="G527" s="6"/>
    </row>
    <row r="528">
      <c r="B528" s="283"/>
      <c r="G528" s="6"/>
    </row>
    <row r="529">
      <c r="B529" s="283"/>
      <c r="G529" s="6"/>
    </row>
    <row r="530">
      <c r="B530" s="283"/>
      <c r="G530" s="6"/>
    </row>
    <row r="531">
      <c r="B531" s="283"/>
      <c r="G531" s="6"/>
    </row>
    <row r="532">
      <c r="B532" s="283"/>
      <c r="G532" s="6"/>
    </row>
    <row r="533">
      <c r="B533" s="283"/>
      <c r="G533" s="6"/>
    </row>
    <row r="534">
      <c r="B534" s="283"/>
      <c r="G534" s="6"/>
    </row>
    <row r="535">
      <c r="B535" s="283"/>
      <c r="G535" s="6"/>
    </row>
    <row r="536">
      <c r="B536" s="283"/>
      <c r="G536" s="6"/>
    </row>
    <row r="537">
      <c r="B537" s="283"/>
      <c r="G537" s="6"/>
    </row>
    <row r="538">
      <c r="B538" s="283"/>
      <c r="G538" s="6"/>
    </row>
    <row r="539">
      <c r="B539" s="283"/>
      <c r="G539" s="6"/>
    </row>
    <row r="540">
      <c r="B540" s="283"/>
      <c r="G540" s="6"/>
    </row>
    <row r="541">
      <c r="B541" s="283"/>
      <c r="G541" s="6"/>
    </row>
    <row r="542">
      <c r="B542" s="283"/>
      <c r="G542" s="6"/>
    </row>
    <row r="543">
      <c r="B543" s="283"/>
      <c r="G543" s="6"/>
    </row>
    <row r="544">
      <c r="B544" s="283"/>
      <c r="G544" s="6"/>
    </row>
    <row r="545">
      <c r="B545" s="283"/>
      <c r="G545" s="6"/>
    </row>
    <row r="546">
      <c r="B546" s="283"/>
      <c r="G546" s="6"/>
    </row>
    <row r="547">
      <c r="B547" s="283"/>
      <c r="G547" s="6"/>
    </row>
    <row r="548">
      <c r="B548" s="283"/>
      <c r="G548" s="6"/>
    </row>
    <row r="549">
      <c r="B549" s="283"/>
      <c r="G549" s="6"/>
    </row>
    <row r="550">
      <c r="B550" s="283"/>
      <c r="G550" s="6"/>
    </row>
    <row r="551">
      <c r="B551" s="283"/>
      <c r="G551" s="6"/>
    </row>
    <row r="552">
      <c r="B552" s="283"/>
      <c r="G552" s="6"/>
    </row>
    <row r="553">
      <c r="B553" s="283"/>
      <c r="G553" s="6"/>
    </row>
    <row r="554">
      <c r="B554" s="283"/>
      <c r="G554" s="6"/>
    </row>
    <row r="555">
      <c r="B555" s="283"/>
      <c r="G555" s="6"/>
    </row>
    <row r="556">
      <c r="B556" s="283"/>
      <c r="G556" s="6"/>
    </row>
    <row r="557">
      <c r="B557" s="283"/>
      <c r="G557" s="6"/>
    </row>
    <row r="558">
      <c r="B558" s="283"/>
      <c r="G558" s="6"/>
    </row>
    <row r="559">
      <c r="B559" s="283"/>
      <c r="G559" s="6"/>
    </row>
    <row r="560">
      <c r="B560" s="283"/>
      <c r="G560" s="6"/>
    </row>
    <row r="561">
      <c r="B561" s="283"/>
      <c r="G561" s="6"/>
    </row>
    <row r="562">
      <c r="B562" s="283"/>
      <c r="G562" s="6"/>
    </row>
    <row r="563">
      <c r="B563" s="283"/>
      <c r="G563" s="6"/>
    </row>
    <row r="564">
      <c r="B564" s="283"/>
      <c r="G564" s="6"/>
    </row>
    <row r="565">
      <c r="B565" s="283"/>
      <c r="G565" s="6"/>
    </row>
    <row r="566">
      <c r="B566" s="283"/>
      <c r="G566" s="6"/>
    </row>
    <row r="567">
      <c r="B567" s="283"/>
      <c r="G567" s="6"/>
    </row>
    <row r="568">
      <c r="B568" s="283"/>
      <c r="G568" s="6"/>
    </row>
    <row r="569">
      <c r="B569" s="283"/>
      <c r="G569" s="6"/>
    </row>
    <row r="570">
      <c r="B570" s="283"/>
      <c r="G570" s="6"/>
    </row>
    <row r="571">
      <c r="B571" s="283"/>
      <c r="G571" s="6"/>
    </row>
    <row r="572">
      <c r="B572" s="283"/>
      <c r="G572" s="6"/>
    </row>
    <row r="573">
      <c r="B573" s="283"/>
      <c r="G573" s="6"/>
    </row>
    <row r="574">
      <c r="B574" s="283"/>
      <c r="G574" s="6"/>
    </row>
    <row r="575">
      <c r="B575" s="283"/>
      <c r="G575" s="6"/>
    </row>
    <row r="576">
      <c r="B576" s="283"/>
      <c r="G576" s="6"/>
    </row>
    <row r="577">
      <c r="B577" s="283"/>
      <c r="G577" s="6"/>
    </row>
    <row r="578">
      <c r="B578" s="283"/>
      <c r="G578" s="6"/>
    </row>
    <row r="579">
      <c r="B579" s="283"/>
      <c r="G579" s="6"/>
    </row>
    <row r="580">
      <c r="B580" s="283"/>
      <c r="G580" s="6"/>
    </row>
    <row r="581">
      <c r="B581" s="283"/>
      <c r="G581" s="6"/>
    </row>
    <row r="582">
      <c r="B582" s="283"/>
      <c r="G582" s="6"/>
    </row>
    <row r="583">
      <c r="B583" s="283"/>
      <c r="G583" s="6"/>
    </row>
    <row r="584">
      <c r="B584" s="283"/>
      <c r="G584" s="6"/>
    </row>
    <row r="585">
      <c r="B585" s="283"/>
      <c r="G585" s="6"/>
    </row>
    <row r="586">
      <c r="B586" s="283"/>
      <c r="G586" s="6"/>
    </row>
    <row r="587">
      <c r="B587" s="283"/>
      <c r="G587" s="6"/>
    </row>
    <row r="588">
      <c r="B588" s="283"/>
      <c r="G588" s="6"/>
    </row>
    <row r="589">
      <c r="B589" s="283"/>
      <c r="G589" s="6"/>
    </row>
    <row r="590">
      <c r="B590" s="283"/>
      <c r="G590" s="6"/>
    </row>
    <row r="591">
      <c r="B591" s="283"/>
      <c r="G591" s="6"/>
    </row>
    <row r="592">
      <c r="B592" s="283"/>
      <c r="G592" s="6"/>
    </row>
    <row r="593">
      <c r="B593" s="283"/>
      <c r="G593" s="6"/>
    </row>
    <row r="594">
      <c r="B594" s="283"/>
      <c r="G594" s="6"/>
    </row>
    <row r="595">
      <c r="B595" s="283"/>
      <c r="G595" s="6"/>
    </row>
    <row r="596">
      <c r="B596" s="283"/>
      <c r="G596" s="6"/>
    </row>
    <row r="597">
      <c r="B597" s="283"/>
      <c r="G597" s="6"/>
    </row>
    <row r="598">
      <c r="B598" s="283"/>
      <c r="G598" s="6"/>
    </row>
    <row r="599">
      <c r="B599" s="283"/>
      <c r="G599" s="6"/>
    </row>
    <row r="600">
      <c r="B600" s="283"/>
      <c r="G600" s="6"/>
    </row>
    <row r="601">
      <c r="B601" s="283"/>
      <c r="G601" s="6"/>
    </row>
    <row r="602">
      <c r="B602" s="283"/>
      <c r="G602" s="6"/>
    </row>
    <row r="603">
      <c r="B603" s="283"/>
      <c r="G603" s="6"/>
    </row>
    <row r="604">
      <c r="B604" s="283"/>
      <c r="G604" s="6"/>
    </row>
    <row r="605">
      <c r="B605" s="283"/>
      <c r="G605" s="6"/>
    </row>
    <row r="606">
      <c r="B606" s="283"/>
      <c r="G606" s="6"/>
    </row>
    <row r="607">
      <c r="B607" s="283"/>
      <c r="G607" s="6"/>
    </row>
    <row r="608">
      <c r="B608" s="283"/>
      <c r="G608" s="6"/>
    </row>
    <row r="609">
      <c r="B609" s="283"/>
      <c r="G609" s="6"/>
    </row>
    <row r="610">
      <c r="B610" s="283"/>
      <c r="G610" s="6"/>
    </row>
    <row r="611">
      <c r="B611" s="283"/>
      <c r="G611" s="6"/>
    </row>
    <row r="612">
      <c r="B612" s="283"/>
      <c r="G612" s="6"/>
    </row>
    <row r="613">
      <c r="B613" s="283"/>
      <c r="G613" s="6"/>
    </row>
    <row r="614">
      <c r="B614" s="283"/>
      <c r="G614" s="6"/>
    </row>
    <row r="615">
      <c r="B615" s="283"/>
      <c r="G615" s="6"/>
    </row>
    <row r="616">
      <c r="B616" s="283"/>
      <c r="G616" s="6"/>
    </row>
    <row r="617">
      <c r="B617" s="283"/>
      <c r="G617" s="6"/>
    </row>
    <row r="618">
      <c r="B618" s="283"/>
      <c r="G618" s="6"/>
    </row>
    <row r="619">
      <c r="B619" s="283"/>
      <c r="G619" s="6"/>
    </row>
    <row r="620">
      <c r="B620" s="283"/>
      <c r="G620" s="6"/>
    </row>
    <row r="621">
      <c r="B621" s="283"/>
      <c r="G621" s="6"/>
    </row>
    <row r="622">
      <c r="B622" s="283"/>
      <c r="G622" s="6"/>
    </row>
    <row r="623">
      <c r="B623" s="283"/>
      <c r="G623" s="6"/>
    </row>
    <row r="624">
      <c r="B624" s="283"/>
      <c r="G624" s="6"/>
    </row>
    <row r="625">
      <c r="B625" s="283"/>
      <c r="G625" s="6"/>
    </row>
    <row r="626">
      <c r="B626" s="283"/>
      <c r="G626" s="6"/>
    </row>
    <row r="627">
      <c r="B627" s="283"/>
      <c r="G627" s="6"/>
    </row>
    <row r="628">
      <c r="B628" s="283"/>
      <c r="G628" s="6"/>
    </row>
    <row r="629">
      <c r="B629" s="283"/>
      <c r="G629" s="6"/>
    </row>
    <row r="630">
      <c r="B630" s="283"/>
      <c r="G630" s="6"/>
    </row>
    <row r="631">
      <c r="B631" s="283"/>
      <c r="G631" s="6"/>
    </row>
    <row r="632">
      <c r="B632" s="283"/>
      <c r="G632" s="6"/>
    </row>
    <row r="633">
      <c r="B633" s="283"/>
      <c r="G633" s="6"/>
    </row>
    <row r="634">
      <c r="B634" s="283"/>
      <c r="G634" s="6"/>
    </row>
    <row r="635">
      <c r="B635" s="283"/>
      <c r="G635" s="6"/>
    </row>
    <row r="636">
      <c r="B636" s="283"/>
      <c r="G636" s="6"/>
    </row>
    <row r="637">
      <c r="B637" s="283"/>
      <c r="G637" s="6"/>
    </row>
    <row r="638">
      <c r="B638" s="283"/>
      <c r="G638" s="6"/>
    </row>
    <row r="639">
      <c r="B639" s="283"/>
      <c r="G639" s="6"/>
    </row>
    <row r="640">
      <c r="B640" s="283"/>
      <c r="G640" s="6"/>
    </row>
    <row r="641">
      <c r="B641" s="283"/>
      <c r="G641" s="6"/>
    </row>
    <row r="642">
      <c r="B642" s="283"/>
      <c r="G642" s="6"/>
    </row>
    <row r="643">
      <c r="B643" s="283"/>
      <c r="G643" s="6"/>
    </row>
    <row r="644">
      <c r="B644" s="283"/>
      <c r="G644" s="6"/>
    </row>
    <row r="645">
      <c r="B645" s="283"/>
      <c r="G645" s="6"/>
    </row>
    <row r="646">
      <c r="B646" s="283"/>
      <c r="G646" s="6"/>
    </row>
    <row r="647">
      <c r="B647" s="283"/>
      <c r="G647" s="6"/>
    </row>
    <row r="648">
      <c r="B648" s="283"/>
      <c r="G648" s="6"/>
    </row>
    <row r="649">
      <c r="B649" s="283"/>
      <c r="G649" s="6"/>
    </row>
    <row r="650">
      <c r="B650" s="283"/>
      <c r="G650" s="6"/>
    </row>
    <row r="651">
      <c r="B651" s="283"/>
      <c r="G651" s="6"/>
    </row>
    <row r="652">
      <c r="B652" s="283"/>
      <c r="G652" s="6"/>
    </row>
    <row r="653">
      <c r="B653" s="283"/>
      <c r="G653" s="6"/>
    </row>
    <row r="654">
      <c r="B654" s="283"/>
      <c r="G654" s="6"/>
    </row>
    <row r="655">
      <c r="B655" s="283"/>
      <c r="G655" s="6"/>
    </row>
    <row r="656">
      <c r="B656" s="283"/>
      <c r="G656" s="6"/>
    </row>
    <row r="657">
      <c r="B657" s="283"/>
      <c r="G657" s="6"/>
    </row>
    <row r="658">
      <c r="B658" s="283"/>
      <c r="G658" s="6"/>
    </row>
    <row r="659">
      <c r="B659" s="283"/>
      <c r="G659" s="6"/>
    </row>
    <row r="660">
      <c r="B660" s="283"/>
      <c r="G660" s="6"/>
    </row>
    <row r="661">
      <c r="B661" s="283"/>
      <c r="G661" s="6"/>
    </row>
    <row r="662">
      <c r="B662" s="283"/>
      <c r="G662" s="6"/>
    </row>
    <row r="663">
      <c r="B663" s="283"/>
      <c r="G663" s="6"/>
    </row>
    <row r="664">
      <c r="B664" s="283"/>
      <c r="G664" s="6"/>
    </row>
    <row r="665">
      <c r="B665" s="283"/>
      <c r="G665" s="6"/>
    </row>
    <row r="666">
      <c r="B666" s="283"/>
      <c r="G666" s="6"/>
    </row>
    <row r="667">
      <c r="B667" s="283"/>
      <c r="G667" s="6"/>
    </row>
    <row r="668">
      <c r="B668" s="283"/>
      <c r="G668" s="6"/>
    </row>
    <row r="669">
      <c r="B669" s="283"/>
      <c r="G669" s="6"/>
    </row>
    <row r="670">
      <c r="B670" s="283"/>
      <c r="G670" s="6"/>
    </row>
    <row r="671">
      <c r="B671" s="283"/>
      <c r="G671" s="6"/>
    </row>
    <row r="672">
      <c r="B672" s="283"/>
      <c r="G672" s="6"/>
    </row>
    <row r="673">
      <c r="B673" s="283"/>
      <c r="G673" s="6"/>
    </row>
    <row r="674">
      <c r="B674" s="283"/>
      <c r="G674" s="6"/>
    </row>
    <row r="675">
      <c r="B675" s="283"/>
      <c r="G675" s="6"/>
    </row>
    <row r="676">
      <c r="B676" s="283"/>
      <c r="G676" s="6"/>
    </row>
    <row r="677">
      <c r="B677" s="283"/>
      <c r="G677" s="6"/>
    </row>
    <row r="678">
      <c r="B678" s="283"/>
      <c r="G678" s="6"/>
    </row>
    <row r="679">
      <c r="B679" s="283"/>
      <c r="G679" s="6"/>
    </row>
    <row r="680">
      <c r="B680" s="283"/>
      <c r="G680" s="6"/>
    </row>
    <row r="681">
      <c r="B681" s="283"/>
      <c r="G681" s="6"/>
    </row>
    <row r="682">
      <c r="B682" s="283"/>
      <c r="G682" s="6"/>
    </row>
    <row r="683">
      <c r="B683" s="283"/>
      <c r="G683" s="6"/>
    </row>
    <row r="684">
      <c r="B684" s="283"/>
      <c r="G684" s="6"/>
    </row>
    <row r="685">
      <c r="B685" s="283"/>
      <c r="G685" s="6"/>
    </row>
    <row r="686">
      <c r="B686" s="283"/>
      <c r="G686" s="6"/>
    </row>
    <row r="687">
      <c r="B687" s="283"/>
      <c r="G687" s="6"/>
    </row>
    <row r="688">
      <c r="B688" s="283"/>
      <c r="G688" s="6"/>
    </row>
    <row r="689">
      <c r="B689" s="283"/>
      <c r="G689" s="6"/>
    </row>
    <row r="690">
      <c r="B690" s="283"/>
      <c r="G690" s="6"/>
    </row>
    <row r="691">
      <c r="B691" s="283"/>
      <c r="G691" s="6"/>
    </row>
    <row r="692">
      <c r="B692" s="283"/>
      <c r="G692" s="6"/>
    </row>
    <row r="693">
      <c r="B693" s="283"/>
      <c r="G693" s="6"/>
    </row>
    <row r="694">
      <c r="B694" s="283"/>
      <c r="G694" s="6"/>
    </row>
    <row r="695">
      <c r="B695" s="283"/>
      <c r="G695" s="6"/>
    </row>
    <row r="696">
      <c r="B696" s="283"/>
      <c r="G696" s="6"/>
    </row>
    <row r="697">
      <c r="B697" s="283"/>
      <c r="G697" s="6"/>
    </row>
    <row r="698">
      <c r="B698" s="283"/>
      <c r="G698" s="6"/>
    </row>
    <row r="699">
      <c r="B699" s="283"/>
      <c r="G699" s="6"/>
    </row>
    <row r="700">
      <c r="B700" s="283"/>
      <c r="G700" s="6"/>
    </row>
    <row r="701">
      <c r="B701" s="283"/>
      <c r="G701" s="6"/>
    </row>
    <row r="702">
      <c r="B702" s="283"/>
      <c r="G702" s="6"/>
    </row>
    <row r="703">
      <c r="B703" s="283"/>
      <c r="G703" s="6"/>
    </row>
    <row r="704">
      <c r="B704" s="283"/>
      <c r="G704" s="6"/>
    </row>
    <row r="705">
      <c r="B705" s="283"/>
      <c r="G705" s="6"/>
    </row>
    <row r="706">
      <c r="B706" s="283"/>
      <c r="G706" s="6"/>
    </row>
    <row r="707">
      <c r="B707" s="283"/>
      <c r="G707" s="6"/>
    </row>
    <row r="708">
      <c r="B708" s="283"/>
      <c r="G708" s="6"/>
    </row>
    <row r="709">
      <c r="B709" s="283"/>
      <c r="G709" s="6"/>
    </row>
    <row r="710">
      <c r="B710" s="283"/>
      <c r="G710" s="6"/>
    </row>
    <row r="711">
      <c r="B711" s="283"/>
      <c r="G711" s="6"/>
    </row>
    <row r="712">
      <c r="B712" s="283"/>
      <c r="G712" s="6"/>
    </row>
    <row r="713">
      <c r="B713" s="283"/>
      <c r="G713" s="6"/>
    </row>
    <row r="714">
      <c r="B714" s="283"/>
      <c r="G714" s="6"/>
    </row>
    <row r="715">
      <c r="B715" s="283"/>
      <c r="G715" s="6"/>
    </row>
    <row r="716">
      <c r="B716" s="283"/>
      <c r="G716" s="6"/>
    </row>
    <row r="717">
      <c r="B717" s="283"/>
      <c r="G717" s="6"/>
    </row>
    <row r="718">
      <c r="B718" s="283"/>
      <c r="G718" s="6"/>
    </row>
    <row r="719">
      <c r="B719" s="283"/>
      <c r="G719" s="6"/>
    </row>
    <row r="720">
      <c r="B720" s="283"/>
      <c r="G720" s="6"/>
    </row>
    <row r="721">
      <c r="B721" s="283"/>
      <c r="G721" s="6"/>
    </row>
    <row r="722">
      <c r="B722" s="283"/>
      <c r="G722" s="6"/>
    </row>
    <row r="723">
      <c r="B723" s="283"/>
      <c r="G723" s="6"/>
    </row>
    <row r="724">
      <c r="B724" s="283"/>
      <c r="G724" s="6"/>
    </row>
    <row r="725">
      <c r="B725" s="283"/>
      <c r="G725" s="6"/>
    </row>
    <row r="726">
      <c r="B726" s="283"/>
      <c r="G726" s="6"/>
    </row>
    <row r="727">
      <c r="B727" s="283"/>
      <c r="G727" s="6"/>
    </row>
    <row r="728">
      <c r="B728" s="283"/>
      <c r="G728" s="6"/>
    </row>
    <row r="729">
      <c r="B729" s="283"/>
      <c r="G729" s="6"/>
    </row>
    <row r="730">
      <c r="B730" s="283"/>
      <c r="G730" s="6"/>
    </row>
    <row r="731">
      <c r="B731" s="283"/>
      <c r="G731" s="6"/>
    </row>
    <row r="732">
      <c r="B732" s="283"/>
      <c r="G732" s="6"/>
    </row>
    <row r="733">
      <c r="B733" s="283"/>
      <c r="G733" s="6"/>
    </row>
    <row r="734">
      <c r="B734" s="283"/>
      <c r="G734" s="6"/>
    </row>
    <row r="735">
      <c r="B735" s="283"/>
      <c r="G735" s="6"/>
    </row>
    <row r="736">
      <c r="B736" s="283"/>
      <c r="G736" s="6"/>
    </row>
    <row r="737">
      <c r="B737" s="283"/>
      <c r="G737" s="6"/>
    </row>
    <row r="738">
      <c r="B738" s="283"/>
      <c r="G738" s="6"/>
    </row>
    <row r="739">
      <c r="B739" s="283"/>
      <c r="G739" s="6"/>
    </row>
    <row r="740">
      <c r="B740" s="283"/>
      <c r="G740" s="6"/>
    </row>
    <row r="741">
      <c r="B741" s="283"/>
      <c r="G741" s="6"/>
    </row>
    <row r="742">
      <c r="B742" s="283"/>
      <c r="G742" s="6"/>
    </row>
    <row r="743">
      <c r="B743" s="283"/>
      <c r="G743" s="6"/>
    </row>
    <row r="744">
      <c r="B744" s="283"/>
      <c r="G744" s="6"/>
    </row>
    <row r="745">
      <c r="B745" s="283"/>
      <c r="G745" s="6"/>
    </row>
    <row r="746">
      <c r="B746" s="283"/>
      <c r="G746" s="6"/>
    </row>
    <row r="747">
      <c r="B747" s="283"/>
      <c r="G747" s="6"/>
    </row>
    <row r="748">
      <c r="B748" s="283"/>
      <c r="G748" s="6"/>
    </row>
    <row r="749">
      <c r="B749" s="283"/>
      <c r="G749" s="6"/>
    </row>
    <row r="750">
      <c r="B750" s="283"/>
      <c r="G750" s="6"/>
    </row>
    <row r="751">
      <c r="B751" s="283"/>
      <c r="G751" s="6"/>
    </row>
    <row r="752">
      <c r="B752" s="283"/>
      <c r="G752" s="6"/>
    </row>
    <row r="753">
      <c r="B753" s="283"/>
      <c r="G753" s="6"/>
    </row>
    <row r="754">
      <c r="B754" s="283"/>
      <c r="G754" s="6"/>
    </row>
    <row r="755">
      <c r="B755" s="283"/>
      <c r="G755" s="6"/>
    </row>
    <row r="756">
      <c r="B756" s="283"/>
      <c r="G756" s="6"/>
    </row>
    <row r="757">
      <c r="B757" s="283"/>
      <c r="G757" s="6"/>
    </row>
    <row r="758">
      <c r="B758" s="283"/>
      <c r="G758" s="6"/>
    </row>
    <row r="759">
      <c r="B759" s="283"/>
      <c r="G759" s="6"/>
    </row>
    <row r="760">
      <c r="B760" s="283"/>
      <c r="G760" s="6"/>
    </row>
    <row r="761">
      <c r="B761" s="283"/>
      <c r="G761" s="6"/>
    </row>
    <row r="762">
      <c r="B762" s="283"/>
      <c r="G762" s="6"/>
    </row>
    <row r="763">
      <c r="B763" s="283"/>
      <c r="G763" s="6"/>
    </row>
    <row r="764">
      <c r="B764" s="283"/>
      <c r="G764" s="6"/>
    </row>
    <row r="765">
      <c r="B765" s="283"/>
      <c r="G765" s="6"/>
    </row>
    <row r="766">
      <c r="B766" s="283"/>
      <c r="G766" s="6"/>
    </row>
    <row r="767">
      <c r="B767" s="283"/>
      <c r="G767" s="6"/>
    </row>
    <row r="768">
      <c r="B768" s="283"/>
      <c r="G768" s="6"/>
    </row>
    <row r="769">
      <c r="B769" s="283"/>
      <c r="G769" s="6"/>
    </row>
    <row r="770">
      <c r="B770" s="283"/>
      <c r="G770" s="6"/>
    </row>
    <row r="771">
      <c r="B771" s="283"/>
      <c r="G771" s="6"/>
    </row>
    <row r="772">
      <c r="B772" s="283"/>
      <c r="G772" s="6"/>
    </row>
    <row r="773">
      <c r="B773" s="283"/>
      <c r="G773" s="6"/>
    </row>
    <row r="774">
      <c r="B774" s="283"/>
      <c r="G774" s="6"/>
    </row>
    <row r="775">
      <c r="B775" s="283"/>
      <c r="G775" s="6"/>
    </row>
    <row r="776">
      <c r="B776" s="283"/>
      <c r="G776" s="6"/>
    </row>
    <row r="777">
      <c r="B777" s="283"/>
      <c r="G777" s="6"/>
    </row>
    <row r="778">
      <c r="B778" s="283"/>
      <c r="G778" s="6"/>
    </row>
    <row r="779">
      <c r="B779" s="283"/>
      <c r="G779" s="6"/>
    </row>
    <row r="780">
      <c r="B780" s="283"/>
      <c r="G780" s="6"/>
    </row>
    <row r="781">
      <c r="B781" s="283"/>
      <c r="G781" s="6"/>
    </row>
    <row r="782">
      <c r="B782" s="283"/>
      <c r="G782" s="6"/>
    </row>
    <row r="783">
      <c r="B783" s="283"/>
      <c r="G783" s="6"/>
    </row>
    <row r="784">
      <c r="B784" s="283"/>
      <c r="G784" s="6"/>
    </row>
    <row r="785">
      <c r="B785" s="283"/>
      <c r="G785" s="6"/>
    </row>
    <row r="786">
      <c r="B786" s="283"/>
      <c r="G786" s="6"/>
    </row>
    <row r="787">
      <c r="B787" s="283"/>
      <c r="G787" s="6"/>
    </row>
    <row r="788">
      <c r="B788" s="283"/>
      <c r="G788" s="6"/>
    </row>
    <row r="789">
      <c r="B789" s="283"/>
      <c r="G789" s="6"/>
    </row>
    <row r="790">
      <c r="B790" s="283"/>
      <c r="G790" s="6"/>
    </row>
    <row r="791">
      <c r="B791" s="283"/>
      <c r="G791" s="6"/>
    </row>
    <row r="792">
      <c r="B792" s="283"/>
      <c r="G792" s="6"/>
    </row>
    <row r="793">
      <c r="B793" s="283"/>
      <c r="G793" s="6"/>
    </row>
    <row r="794">
      <c r="B794" s="283"/>
      <c r="G794" s="6"/>
    </row>
    <row r="795">
      <c r="B795" s="283"/>
      <c r="G795" s="6"/>
    </row>
    <row r="796">
      <c r="B796" s="283"/>
      <c r="G796" s="6"/>
    </row>
    <row r="797">
      <c r="B797" s="283"/>
      <c r="G797" s="6"/>
    </row>
    <row r="798">
      <c r="B798" s="283"/>
      <c r="G798" s="6"/>
    </row>
    <row r="799">
      <c r="B799" s="283"/>
      <c r="G799" s="6"/>
    </row>
    <row r="800">
      <c r="B800" s="283"/>
      <c r="G800" s="6"/>
    </row>
    <row r="801">
      <c r="B801" s="283"/>
      <c r="G801" s="6"/>
    </row>
    <row r="802">
      <c r="B802" s="283"/>
      <c r="G802" s="6"/>
    </row>
    <row r="803">
      <c r="B803" s="283"/>
      <c r="G803" s="6"/>
    </row>
    <row r="804">
      <c r="B804" s="283"/>
      <c r="G804" s="6"/>
    </row>
    <row r="805">
      <c r="B805" s="283"/>
      <c r="G805" s="6"/>
    </row>
    <row r="806">
      <c r="B806" s="283"/>
      <c r="G806" s="6"/>
    </row>
    <row r="807">
      <c r="B807" s="283"/>
      <c r="G807" s="6"/>
    </row>
    <row r="808">
      <c r="B808" s="283"/>
      <c r="G808" s="6"/>
    </row>
    <row r="809">
      <c r="B809" s="283"/>
      <c r="G809" s="6"/>
    </row>
    <row r="810">
      <c r="B810" s="283"/>
      <c r="G810" s="6"/>
    </row>
    <row r="811">
      <c r="B811" s="283"/>
      <c r="G811" s="6"/>
    </row>
    <row r="812">
      <c r="B812" s="283"/>
      <c r="G812" s="6"/>
    </row>
    <row r="813">
      <c r="B813" s="283"/>
      <c r="G813" s="6"/>
    </row>
    <row r="814">
      <c r="B814" s="283"/>
      <c r="G814" s="6"/>
    </row>
    <row r="815">
      <c r="B815" s="283"/>
      <c r="G815" s="6"/>
    </row>
    <row r="816">
      <c r="B816" s="283"/>
      <c r="G816" s="6"/>
    </row>
    <row r="817">
      <c r="B817" s="283"/>
      <c r="G817" s="6"/>
    </row>
    <row r="818">
      <c r="B818" s="283"/>
      <c r="G818" s="6"/>
    </row>
    <row r="819">
      <c r="B819" s="283"/>
      <c r="G819" s="6"/>
    </row>
    <row r="820">
      <c r="B820" s="283"/>
      <c r="G820" s="6"/>
    </row>
    <row r="821">
      <c r="B821" s="283"/>
      <c r="G821" s="6"/>
    </row>
    <row r="822">
      <c r="B822" s="283"/>
      <c r="G822" s="6"/>
    </row>
    <row r="823">
      <c r="B823" s="283"/>
      <c r="G823" s="6"/>
    </row>
    <row r="824">
      <c r="B824" s="283"/>
      <c r="G824" s="6"/>
    </row>
    <row r="825">
      <c r="B825" s="283"/>
      <c r="G825" s="6"/>
    </row>
    <row r="826">
      <c r="B826" s="283"/>
      <c r="G826" s="6"/>
    </row>
    <row r="827">
      <c r="B827" s="283"/>
      <c r="G827" s="6"/>
    </row>
    <row r="828">
      <c r="B828" s="283"/>
      <c r="G828" s="6"/>
    </row>
    <row r="829">
      <c r="B829" s="283"/>
      <c r="G829" s="6"/>
    </row>
    <row r="830">
      <c r="B830" s="283"/>
      <c r="G830" s="6"/>
    </row>
    <row r="831">
      <c r="B831" s="283"/>
      <c r="G831" s="6"/>
    </row>
    <row r="832">
      <c r="B832" s="283"/>
      <c r="G832" s="6"/>
    </row>
    <row r="833">
      <c r="B833" s="283"/>
      <c r="G833" s="6"/>
    </row>
    <row r="834">
      <c r="B834" s="283"/>
      <c r="G834" s="6"/>
    </row>
    <row r="835">
      <c r="B835" s="283"/>
      <c r="G835" s="6"/>
    </row>
    <row r="836">
      <c r="B836" s="283"/>
      <c r="G836" s="6"/>
    </row>
    <row r="837">
      <c r="B837" s="283"/>
      <c r="G837" s="6"/>
    </row>
    <row r="838">
      <c r="B838" s="283"/>
      <c r="G838" s="6"/>
    </row>
    <row r="839">
      <c r="B839" s="283"/>
      <c r="G839" s="6"/>
    </row>
    <row r="840">
      <c r="B840" s="283"/>
      <c r="G840" s="6"/>
    </row>
    <row r="841">
      <c r="B841" s="283"/>
      <c r="G841" s="6"/>
    </row>
    <row r="842">
      <c r="B842" s="283"/>
      <c r="G842" s="6"/>
    </row>
    <row r="843">
      <c r="B843" s="283"/>
      <c r="G843" s="6"/>
    </row>
    <row r="844">
      <c r="B844" s="283"/>
      <c r="G844" s="6"/>
    </row>
    <row r="845">
      <c r="B845" s="283"/>
      <c r="G845" s="6"/>
    </row>
    <row r="846">
      <c r="B846" s="283"/>
      <c r="G846" s="6"/>
    </row>
    <row r="847">
      <c r="B847" s="283"/>
      <c r="G847" s="6"/>
    </row>
    <row r="848">
      <c r="B848" s="283"/>
      <c r="G848" s="6"/>
    </row>
    <row r="849">
      <c r="B849" s="283"/>
      <c r="G849" s="6"/>
    </row>
    <row r="850">
      <c r="B850" s="283"/>
      <c r="G850" s="6"/>
    </row>
    <row r="851">
      <c r="B851" s="283"/>
      <c r="G851" s="6"/>
    </row>
    <row r="852">
      <c r="B852" s="283"/>
      <c r="G852" s="6"/>
    </row>
    <row r="853">
      <c r="B853" s="283"/>
      <c r="G853" s="6"/>
    </row>
    <row r="854">
      <c r="B854" s="283"/>
      <c r="G854" s="6"/>
    </row>
    <row r="855">
      <c r="B855" s="283"/>
      <c r="G855" s="6"/>
    </row>
    <row r="856">
      <c r="B856" s="283"/>
      <c r="G856" s="6"/>
    </row>
    <row r="857">
      <c r="B857" s="283"/>
      <c r="G857" s="6"/>
    </row>
    <row r="858">
      <c r="B858" s="283"/>
      <c r="G858" s="6"/>
    </row>
    <row r="859">
      <c r="B859" s="283"/>
      <c r="G859" s="6"/>
    </row>
    <row r="860">
      <c r="B860" s="283"/>
      <c r="G860" s="6"/>
    </row>
    <row r="861">
      <c r="B861" s="283"/>
      <c r="G861" s="6"/>
    </row>
    <row r="862">
      <c r="B862" s="283"/>
      <c r="G862" s="6"/>
    </row>
    <row r="863">
      <c r="B863" s="283"/>
      <c r="G863" s="6"/>
    </row>
    <row r="864">
      <c r="B864" s="283"/>
      <c r="G864" s="6"/>
    </row>
    <row r="865">
      <c r="B865" s="283"/>
      <c r="G865" s="6"/>
    </row>
    <row r="866">
      <c r="B866" s="283"/>
      <c r="G866" s="6"/>
    </row>
    <row r="867">
      <c r="B867" s="283"/>
      <c r="G867" s="6"/>
    </row>
    <row r="868">
      <c r="B868" s="283"/>
      <c r="G868" s="6"/>
    </row>
    <row r="869">
      <c r="B869" s="283"/>
      <c r="G869" s="6"/>
    </row>
    <row r="870">
      <c r="B870" s="283"/>
      <c r="G870" s="6"/>
    </row>
    <row r="871">
      <c r="B871" s="283"/>
      <c r="G871" s="6"/>
    </row>
    <row r="872">
      <c r="B872" s="283"/>
      <c r="G872" s="6"/>
    </row>
    <row r="873">
      <c r="B873" s="283"/>
      <c r="G873" s="6"/>
    </row>
    <row r="874">
      <c r="B874" s="283"/>
      <c r="G874" s="6"/>
    </row>
    <row r="875">
      <c r="B875" s="283"/>
      <c r="G875" s="6"/>
    </row>
    <row r="876">
      <c r="B876" s="283"/>
      <c r="G876" s="6"/>
    </row>
    <row r="877">
      <c r="B877" s="283"/>
      <c r="G877" s="6"/>
    </row>
    <row r="878">
      <c r="B878" s="283"/>
      <c r="G878" s="6"/>
    </row>
    <row r="879">
      <c r="B879" s="283"/>
      <c r="G879" s="6"/>
    </row>
    <row r="880">
      <c r="B880" s="283"/>
      <c r="G880" s="6"/>
    </row>
    <row r="881">
      <c r="B881" s="283"/>
      <c r="G881" s="6"/>
    </row>
    <row r="882">
      <c r="B882" s="283"/>
      <c r="G882" s="6"/>
    </row>
    <row r="883">
      <c r="B883" s="283"/>
      <c r="G883" s="6"/>
    </row>
    <row r="884">
      <c r="B884" s="283"/>
      <c r="G884" s="6"/>
    </row>
    <row r="885">
      <c r="B885" s="283"/>
      <c r="G885" s="6"/>
    </row>
    <row r="886">
      <c r="B886" s="283"/>
      <c r="G886" s="6"/>
    </row>
    <row r="887">
      <c r="B887" s="283"/>
      <c r="G887" s="6"/>
    </row>
    <row r="888">
      <c r="B888" s="283"/>
      <c r="G888" s="6"/>
    </row>
    <row r="889">
      <c r="B889" s="283"/>
      <c r="G889" s="6"/>
    </row>
    <row r="890">
      <c r="B890" s="283"/>
      <c r="G890" s="6"/>
    </row>
    <row r="891">
      <c r="B891" s="283"/>
      <c r="G891" s="6"/>
    </row>
    <row r="892">
      <c r="B892" s="283"/>
      <c r="G892" s="6"/>
    </row>
    <row r="893">
      <c r="B893" s="283"/>
      <c r="G893" s="6"/>
    </row>
    <row r="894">
      <c r="B894" s="283"/>
      <c r="G894" s="6"/>
    </row>
    <row r="895">
      <c r="B895" s="283"/>
      <c r="G895" s="6"/>
    </row>
    <row r="896">
      <c r="B896" s="283"/>
      <c r="G896" s="6"/>
    </row>
    <row r="897">
      <c r="B897" s="283"/>
      <c r="G897" s="6"/>
    </row>
    <row r="898">
      <c r="B898" s="283"/>
      <c r="G898" s="6"/>
    </row>
    <row r="899">
      <c r="B899" s="283"/>
      <c r="G899" s="6"/>
    </row>
    <row r="900">
      <c r="B900" s="283"/>
      <c r="G900" s="6"/>
    </row>
    <row r="901">
      <c r="B901" s="283"/>
      <c r="G901" s="6"/>
    </row>
    <row r="902">
      <c r="B902" s="283"/>
      <c r="G902" s="6"/>
    </row>
    <row r="903">
      <c r="B903" s="283"/>
      <c r="G903" s="6"/>
    </row>
    <row r="904">
      <c r="B904" s="283"/>
      <c r="G904" s="6"/>
    </row>
    <row r="905">
      <c r="B905" s="283"/>
      <c r="G905" s="6"/>
    </row>
    <row r="906">
      <c r="B906" s="283"/>
      <c r="G906" s="6"/>
    </row>
    <row r="907">
      <c r="B907" s="283"/>
      <c r="G907" s="6"/>
    </row>
    <row r="908">
      <c r="B908" s="283"/>
      <c r="G908" s="6"/>
    </row>
    <row r="909">
      <c r="B909" s="283"/>
      <c r="G909" s="6"/>
    </row>
    <row r="910">
      <c r="B910" s="283"/>
      <c r="G910" s="6"/>
    </row>
    <row r="911">
      <c r="B911" s="283"/>
      <c r="G911" s="6"/>
    </row>
    <row r="912">
      <c r="B912" s="283"/>
      <c r="G912" s="6"/>
    </row>
    <row r="913">
      <c r="B913" s="283"/>
      <c r="G913" s="6"/>
    </row>
    <row r="914">
      <c r="B914" s="283"/>
      <c r="G914" s="6"/>
    </row>
    <row r="915">
      <c r="B915" s="283"/>
      <c r="G915" s="6"/>
    </row>
    <row r="916">
      <c r="B916" s="283"/>
      <c r="G916" s="6"/>
    </row>
    <row r="917">
      <c r="B917" s="283"/>
      <c r="G917" s="6"/>
    </row>
    <row r="918">
      <c r="B918" s="283"/>
      <c r="G918" s="6"/>
    </row>
    <row r="919">
      <c r="B919" s="283"/>
      <c r="G919" s="6"/>
    </row>
    <row r="920">
      <c r="B920" s="283"/>
      <c r="G920" s="6"/>
    </row>
    <row r="921">
      <c r="B921" s="283"/>
      <c r="G921" s="6"/>
    </row>
    <row r="922">
      <c r="B922" s="283"/>
      <c r="G922" s="6"/>
    </row>
    <row r="923">
      <c r="B923" s="283"/>
      <c r="G923" s="6"/>
    </row>
    <row r="924">
      <c r="B924" s="283"/>
      <c r="G924" s="6"/>
    </row>
    <row r="925">
      <c r="B925" s="283"/>
      <c r="G925" s="6"/>
    </row>
    <row r="926">
      <c r="B926" s="283"/>
      <c r="G926" s="6"/>
    </row>
    <row r="927">
      <c r="B927" s="283"/>
      <c r="G927" s="6"/>
    </row>
    <row r="928">
      <c r="B928" s="283"/>
      <c r="G928" s="6"/>
    </row>
    <row r="929">
      <c r="B929" s="283"/>
      <c r="G929" s="6"/>
    </row>
    <row r="930">
      <c r="B930" s="283"/>
      <c r="G930" s="6"/>
    </row>
    <row r="931">
      <c r="B931" s="283"/>
      <c r="G931" s="6"/>
    </row>
    <row r="932">
      <c r="B932" s="283"/>
      <c r="G932" s="6"/>
    </row>
    <row r="933">
      <c r="B933" s="283"/>
      <c r="G933" s="6"/>
    </row>
    <row r="934">
      <c r="B934" s="283"/>
      <c r="G934" s="6"/>
    </row>
    <row r="935">
      <c r="B935" s="283"/>
      <c r="G935" s="6"/>
    </row>
    <row r="936">
      <c r="B936" s="283"/>
      <c r="G936" s="6"/>
    </row>
    <row r="937">
      <c r="B937" s="283"/>
      <c r="G937" s="6"/>
    </row>
    <row r="938">
      <c r="B938" s="283"/>
      <c r="G938" s="6"/>
    </row>
    <row r="939">
      <c r="B939" s="283"/>
      <c r="G939" s="6"/>
    </row>
    <row r="940">
      <c r="B940" s="283"/>
      <c r="G940" s="6"/>
    </row>
    <row r="941">
      <c r="B941" s="283"/>
      <c r="G941" s="6"/>
    </row>
    <row r="942">
      <c r="B942" s="283"/>
      <c r="G942" s="6"/>
    </row>
    <row r="943">
      <c r="B943" s="283"/>
      <c r="G943" s="6"/>
    </row>
    <row r="944">
      <c r="B944" s="283"/>
      <c r="G944" s="6"/>
    </row>
    <row r="945">
      <c r="B945" s="283"/>
      <c r="G945" s="6"/>
    </row>
    <row r="946">
      <c r="B946" s="283"/>
      <c r="G946" s="6"/>
    </row>
    <row r="947">
      <c r="B947" s="283"/>
      <c r="G947" s="6"/>
    </row>
    <row r="948">
      <c r="B948" s="283"/>
      <c r="G948" s="6"/>
    </row>
    <row r="949">
      <c r="B949" s="283"/>
      <c r="G949" s="6"/>
    </row>
    <row r="950">
      <c r="B950" s="283"/>
      <c r="G950" s="6"/>
    </row>
    <row r="951">
      <c r="B951" s="283"/>
      <c r="G951" s="6"/>
    </row>
    <row r="952">
      <c r="B952" s="283"/>
      <c r="G952" s="6"/>
    </row>
    <row r="953">
      <c r="B953" s="283"/>
      <c r="G953" s="6"/>
    </row>
    <row r="954">
      <c r="B954" s="283"/>
      <c r="G954" s="6"/>
    </row>
    <row r="955">
      <c r="B955" s="283"/>
      <c r="G955" s="6"/>
    </row>
    <row r="956">
      <c r="B956" s="283"/>
      <c r="G956" s="6"/>
    </row>
    <row r="957">
      <c r="B957" s="283"/>
      <c r="G957" s="6"/>
    </row>
    <row r="958">
      <c r="B958" s="283"/>
      <c r="G958" s="6"/>
    </row>
    <row r="959">
      <c r="B959" s="283"/>
      <c r="G959" s="6"/>
    </row>
    <row r="960">
      <c r="B960" s="283"/>
      <c r="G960" s="6"/>
    </row>
    <row r="961">
      <c r="B961" s="283"/>
      <c r="G961" s="6"/>
    </row>
    <row r="962">
      <c r="B962" s="283"/>
      <c r="G962" s="6"/>
    </row>
    <row r="963">
      <c r="B963" s="283"/>
      <c r="G963" s="6"/>
    </row>
    <row r="964">
      <c r="B964" s="283"/>
      <c r="G964" s="6"/>
    </row>
    <row r="965">
      <c r="B965" s="283"/>
      <c r="G965" s="6"/>
    </row>
    <row r="966">
      <c r="B966" s="283"/>
      <c r="G966" s="6"/>
    </row>
    <row r="967">
      <c r="B967" s="283"/>
      <c r="G967" s="6"/>
    </row>
    <row r="968">
      <c r="B968" s="283"/>
      <c r="G968" s="6"/>
    </row>
    <row r="969">
      <c r="B969" s="283"/>
      <c r="G969" s="6"/>
    </row>
    <row r="970">
      <c r="B970" s="283"/>
      <c r="G970" s="6"/>
    </row>
    <row r="971">
      <c r="B971" s="283"/>
      <c r="G971" s="6"/>
    </row>
    <row r="972">
      <c r="B972" s="283"/>
      <c r="G972" s="6"/>
    </row>
    <row r="973">
      <c r="B973" s="283"/>
      <c r="G973" s="6"/>
    </row>
    <row r="974">
      <c r="B974" s="283"/>
      <c r="G974" s="6"/>
    </row>
    <row r="975">
      <c r="B975" s="283"/>
      <c r="G975" s="6"/>
    </row>
    <row r="976">
      <c r="B976" s="283"/>
      <c r="G976" s="6"/>
    </row>
    <row r="977">
      <c r="B977" s="283"/>
      <c r="G977" s="6"/>
    </row>
    <row r="978">
      <c r="B978" s="283"/>
      <c r="G978" s="6"/>
    </row>
    <row r="979">
      <c r="B979" s="283"/>
      <c r="G979" s="6"/>
    </row>
    <row r="980">
      <c r="B980" s="283"/>
      <c r="G980" s="6"/>
    </row>
    <row r="981">
      <c r="B981" s="283"/>
      <c r="G981" s="6"/>
    </row>
    <row r="982">
      <c r="B982" s="283"/>
      <c r="G982" s="6"/>
    </row>
    <row r="983">
      <c r="B983" s="283"/>
      <c r="G983" s="6"/>
    </row>
    <row r="984">
      <c r="B984" s="283"/>
      <c r="G984" s="6"/>
    </row>
    <row r="985">
      <c r="B985" s="283"/>
      <c r="G985" s="6"/>
    </row>
    <row r="986">
      <c r="B986" s="283"/>
      <c r="G986" s="6"/>
    </row>
    <row r="987">
      <c r="B987" s="283"/>
      <c r="G987" s="6"/>
    </row>
    <row r="988">
      <c r="B988" s="283"/>
      <c r="G988" s="6"/>
    </row>
    <row r="989">
      <c r="B989" s="283"/>
      <c r="G989" s="6"/>
    </row>
    <row r="990">
      <c r="B990" s="283"/>
      <c r="G990" s="6"/>
    </row>
    <row r="991">
      <c r="B991" s="283"/>
      <c r="G991" s="6"/>
    </row>
    <row r="992">
      <c r="B992" s="283"/>
      <c r="G992" s="6"/>
    </row>
    <row r="993">
      <c r="B993" s="283"/>
      <c r="G993" s="6"/>
    </row>
    <row r="994">
      <c r="B994" s="283"/>
      <c r="G994" s="6"/>
    </row>
    <row r="995">
      <c r="B995" s="283"/>
      <c r="G995" s="6"/>
    </row>
    <row r="996">
      <c r="B996" s="283"/>
      <c r="G996" s="6"/>
    </row>
    <row r="997">
      <c r="B997" s="283"/>
      <c r="G997" s="6"/>
    </row>
    <row r="998">
      <c r="B998" s="283"/>
      <c r="G998" s="6"/>
    </row>
    <row r="999">
      <c r="B999" s="283"/>
      <c r="G999" s="6"/>
    </row>
    <row r="1000">
      <c r="B1000" s="283"/>
      <c r="G1000" s="6"/>
    </row>
  </sheetData>
  <autoFilter ref="$A$1:$O$117">
    <filterColumn colId="1">
      <filters>
        <filter val="El Gobierno aprueba la Estrategia de Descarbonización a Largo Plazo, que marca la senda para alcanzar la neutralidad climática a 2050"/>
        <filter val="Coast Conservation Act"/>
        <filter val="YENİLENEBİLİR ENERJİ KAYNAKLARINDAN ELEKTRİK ENERJİSİ ÜRETEN TESİSLERDE KULLANILAN YERLİ AKSAMIN DESTEKLENMESİ HAKKINDA YÖNETMELİKTE DEĞİŞİKLİK YAPILMASINA DAİR YÖNETMELİK"/>
        <filter val="NATIONAL ENERGY POLICY &amp; STRATEGIES OF SRI LANKA"/>
        <filter val="NUCLEAR ENERGY PROMOTION ACT"/>
        <filter val="Loi fédérale concernant une redevance sur le trafic des poids lourds liée aux prestations"/>
        <filter val="Ley 1/2005, de 9 de marzo, por la que se regula el régimen del comercio de derechos de emisión de gases de efecto invernadero."/>
        <filter val="COUNCIL IMPLEMENTING DECISION on the approval of the assessment of the recovery and resilience plan for Spain"/>
        <filter val="The Energy Conservation Promotion Act B.E. 2535"/>
        <filter val="Ordonnance sur l’imposition des huiles minérales"/>
        <filter val="Stratégie et plan d’action nationaux pour&#10;la biodiversité 2018-2030"/>
        <filter val="NATIONAL CLIMATE CHANGE STRATEGY"/>
        <filter val="Spain’s recovery and resilience plan"/>
        <filter val="REAL DECRETO 1188/2001, de 2 de noviembre, por el que se regula la composición y funciones del Consejo Nacional del Clima."/>
        <filter val="ELEKTRİK PİYASASINDA LİSANSSIZ ELEKTRİK ÜRETİM YÖNETMELİĞİ"/>
        <filter val="Budget Speech Financial Year 2020/21"/>
        <filter val="JEOTERMAL KAYNAKLAR VE DOĞAL MİNERALLİ SULAR KANUNU"/>
        <filter val="Sweden’s Integrated National Energy and Climate Plan"/>
        <filter val="Real Decreto 415/2014, de 6 de junio, por el que se regula la composición y funciones del Consejo Nacional del Clima"/>
        <filter val="พระราชกฤษฎีกา: จัดตั้งองคการบริหารจัดการกาซเรือนกระจก (องคการมหาชน)"/>
        <filter val="National Energy Policy &amp; Strategies of Sri Lanka"/>
        <filter val="Loi n°91-39 du 08 juin 1991, relative à la lutte contre les calamites, à leur prévention et à l'organisation des secours"/>
        <filter val="Sveriges integrerade nationella energi- och klimatplan"/>
        <filter val="Estrategia de Impulso del vehículo con energías alternativas (VEA) en España (2014-2020)"/>
        <filter val="О внесении изменений в Федеральный закон &quot;Об охране окружающей среды&quot; и отдельные законодательные акты Российской Федерации"/>
        <filter val="Förordning (2011:1480) om elcertifikat"/>
        <filter val="REVISED ANNEX to the Council Implementing Decision on the approval of the assessment of the recovery and resilience plan for Spain"/>
        <filter val="Plan Nacional de Adaptación al Cambio Climático"/>
        <filter val="YENİLENEBİLİR ENERJİ KAYNAKLARINDAN ELEKTRİK ENERJİSİ ÜRETEN TESİSLERDE KULLANILAN YERLİ AKSAMIN DESTEKLENMESİ HAKKINDA YÖNETMELİK"/>
        <filter val="SPANISH CLIMATE CHANGE AND CLEAN ENERGY STRATEGY HORIZON 2007- 2012 -2020"/>
        <filter val="LAW ON UTILIZATION OF RENEWABLE ENERGY SOURCES FOR THE PURPOSE OF GENERATING ELECTRICAL ENERGY"/>
        <filter val="Republic of Turkey Climate Change Strategy 2010-2020"/>
        <filter val="Révision partielle de l’ordonnance sur la réduction des émissions de CO2"/>
        <filter val="Adaptation aux changements climatiques en Suisse"/>
        <filter val="Verordnung über die Reduktion der CO2-Emissionen"/>
        <filter val="Ordinance on the Reduction of CO2 Emissions"/>
        <filter val="REAL DECRETO 1315/2005"/>
        <filter val="Anpassung an den Klimawandel in der Schweiz"/>
        <filter val="Estrategia a largo plazo para la rehabilitación energética en el sector de la edificación en España"/>
        <filter val="Ordonnance sur les exigences relatives à l’efficacité énergétique d’installations, de véhicules et d’appareils fabriqués en série"/>
        <filter val="Mineralölsteuerverordnung"/>
        <filter val="Estrategia de descarbonizacion a largo plazo 2050"/>
        <filter val="Förordning (2017:1319) om statligt stöd till åtgärder som bidrar till industrins klimatomställning"/>
        <filter val="Lag (2011:1200) om elcertifikat"/>
        <filter val="NATIONAL ACTION FRAMEWORK FOR ALTERNATIVE ENERGY IN TRANSPORT"/>
        <filter val="Nationell strategi för klimatanpassning"/>
        <filter val="PROGRAMA DE ACCIÓN NACIONAL CONTRA LA DESERTIFICACIÓN"/>
        <filter val="Bundesgesetz über eine leistungsabhängige Schwerverkehrsabgabe"/>
        <filter val="Energiegesetz"/>
        <filter val="Laying the Foundations for Recovery: Spain"/>
        <filter val="REPUBLIC OF TURKEY CLIMATE CHANGE ACTION PLAN 2011 - 2023"/>
        <filter val="ENERGY STRATEGY 2050 ONCE THE NEW ENERGY ACT IS IN FORCE"/>
        <filter val="INTEGRATED NATIONAL ENERGY AND CLIMATE PLAN 2021-2030"/>
        <filter val="Real Decreto 960/2020, de 3 de noviembre, por el que se regula el régimen económico de energías renovables para instalaciones de producción de energía eléctrica."/>
        <filter val="2030 국가 온실가스 감축목표(NDC) 상향안"/>
        <filter val="Regleringsbrev för budgetåret 2021 avseende anslag 1:19 Industriklivet"/>
        <filter val="Bundesgesetz über den Wald"/>
        <filter val="The Swedish Climate Policy Framework"/>
        <filter val="REAL DECRETO 1264/2005"/>
        <filter val="NATIONAL CLIMATE CHANGE RESPONSE STRATEGY 2021-2026"/>
        <filter val="Evolution de la planification nationale en matière de diversité biologique"/>
        <filter val="The Korean New Deal"/>
        <filter val="Plan- och bygglag (2010:900)"/>
        <filter val="Federal Act on Forest"/>
        <filter val="BAZI KANUNLARDA DEĞİŞİKLİK YAPILMASINA DAİR KANUN"/>
        <filter val="BOLETÍN OFICIAL DEL ESTADO"/>
        <filter val="Loi sur l’énergie*"/>
        <filter val="Décret n° 93-942 du 26 avril 1993, fixant les modalités d'élaboration et d'application du plan national et des plans régionaux relatifs à la lutte contre les calamités, à leur prévention et l'organisation des secours."/>
        <filter val="The Swedish Climate Act"/>
        <filter val="Energy Conservation Promotion Act"/>
        <filter val="Yenilenebilir Enerji Kaynaklarının Elektrik Enerjisi Üretimi Amaçlı Kullanımına İlişkin Kanun"/>
        <filter val="Elektriciteitswet"/>
        <filter val="Plan de Recuperación, Transformación y Resiliencia"/>
        <filter val="PLAN NACIONAL INTEGRADO DE ENERGÍA Y CLIMA 2021-2030"/>
        <filter val="Loi fédérale sur les forêts"/>
        <filter val="Energy Strategy 2050"/>
        <filter val="HUKUK MUHAKEMELERI KANUNU ILE BAZI KANUNLARDA DEGISIKLIK YAPILMASI HAKKINDA KANUN"/>
        <filter val="NATIONAL BUDGET FRAMEWORK PAPER FY 2020/21 – FY 2024/25"/>
        <filter val="FUSION ENERGY DEVELOPMENT PROMOTION ACT"/>
        <filter val="Federal Act on the Reduction of CO2 Emissions"/>
        <filter val="Klimatlag (2017:720)"/>
        <filter val="Real Decreto 752/2010, de 4 de junio, por el que se aprueba el primer programa de desarrollo rural sostenible para el período 2010-2014 en aplicación de la Ley 45/2007, de 13 de diciembre, para el desarrollo sostenible del medio rural."/>
        <filter val="STORM AND FLOOD INSURANCE ACT"/>
        <filter val="ESTRATEGIA ESPAÑOLA DE CAMBIO CLIMÁTICO Y ENERGÍA LIMPIA HORIZONTE 2007- 2012 -2020"/>
        <filter val="Ley 2/2011, de 4 de marzo, de Economía Sostenible"/>
        <filter val="ORDEN ARM/2444/2008"/>
        <filter val="Planning and Building Act (2010:900)"/>
        <filter val="TÜRKİYE CUMHURİYETİ İKLİM DEĞİŞİKLİĞİ EYLEM PLANI 2011 - 2023"/>
        <filter val="Ley 45/2007, de 13 de diciembre, para el desarrollo sostenible del medio"/>
        <filter val="Ordonnance sur la réduction des émissions de CO2"/>
        <filter val="LAW ON GEOTHERMAL RESOURCES AND MINERAL WATERS"/>
        <filter val="ЗАКОН ОБ ИСПОЛЬЗОВАНИИ ВОЗОБНОВЛЯЕМЫХ ИСТОЧНИКОВ ЭНЕРГИИ"/>
        <filter val="LAW NO. 6094 AMENDING THE RENEWABLE ENERGY LAW"/>
        <filter val="พระราชกฤษฎีกา: กา จัดตั้งองคการบริหารจัดการกาซเรือนกระจก (องคการมหาชน)"/>
        <filter val="THE LAW OF THE REPUBLIC OF TAJIKISTAN ON THE USE OF RENEWABLE ENERGY SOURCES"/>
        <filter val="2050 탄소중립위원회의 설치 및 운영에 관한 규정"/>
        <filter val="2050 탄소중립 시나리오안"/>
        <filter val="Real Decreto 177/1998, de 16 de febrero, por el que se crea el Consejo Nacional del Clima."/>
        <filter val="Türkiye İklim Değişikliği Stratejisi"/>
      </filters>
    </filterColumn>
    <filterColumn colId="5">
      <filters blank="1">
        <filter val="Press Release"/>
      </filters>
    </filterColumn>
  </autoFilter>
  <dataValidations>
    <dataValidation type="list" allowBlank="1" sqref="F2:G117 G118:G1000">
      <formula1>'_document type values'!$A:$A</formula1>
    </dataValidation>
  </dataValidations>
  <hyperlinks>
    <hyperlink r:id="rId1" ref="K2"/>
    <hyperlink r:id="rId2" ref="K3"/>
    <hyperlink r:id="rId3" ref="K4"/>
    <hyperlink r:id="rId4" ref="J5"/>
    <hyperlink r:id="rId5" ref="K5"/>
    <hyperlink r:id="rId6" ref="J6"/>
    <hyperlink r:id="rId7" ref="K6"/>
    <hyperlink r:id="rId8" ref="K7"/>
    <hyperlink r:id="rId9" ref="K8"/>
    <hyperlink r:id="rId10" ref="J9"/>
    <hyperlink r:id="rId11" ref="K9"/>
    <hyperlink r:id="rId12" ref="K10"/>
    <hyperlink r:id="rId13" ref="K11"/>
    <hyperlink r:id="rId14" ref="K12"/>
    <hyperlink r:id="rId15" ref="K13"/>
    <hyperlink r:id="rId16" ref="K14"/>
    <hyperlink r:id="rId17" ref="K15"/>
    <hyperlink r:id="rId18" ref="J16"/>
    <hyperlink r:id="rId19" ref="K16"/>
    <hyperlink r:id="rId20" ref="K17"/>
    <hyperlink r:id="rId21" ref="K18"/>
    <hyperlink r:id="rId22" ref="K19"/>
    <hyperlink r:id="rId23" ref="K20"/>
    <hyperlink r:id="rId24" ref="K21"/>
    <hyperlink r:id="rId25" ref="K22"/>
    <hyperlink r:id="rId26" ref="K23"/>
    <hyperlink r:id="rId27" ref="K24"/>
    <hyperlink r:id="rId28" ref="K25"/>
    <hyperlink r:id="rId29" ref="K26"/>
    <hyperlink r:id="rId30" ref="K27"/>
    <hyperlink r:id="rId31" ref="K28"/>
    <hyperlink r:id="rId32" ref="K29"/>
    <hyperlink r:id="rId33" ref="K30"/>
    <hyperlink r:id="rId34" ref="J31"/>
    <hyperlink r:id="rId35" ref="K31"/>
    <hyperlink r:id="rId36" ref="K32"/>
    <hyperlink r:id="rId37" ref="K33"/>
    <hyperlink r:id="rId38" ref="K34"/>
    <hyperlink r:id="rId39" ref="K35"/>
    <hyperlink r:id="rId40" ref="K36"/>
    <hyperlink r:id="rId41" ref="K37"/>
    <hyperlink r:id="rId42" ref="K38"/>
    <hyperlink r:id="rId43" ref="K39"/>
    <hyperlink r:id="rId44" ref="K40"/>
    <hyperlink r:id="rId45" ref="K41"/>
    <hyperlink r:id="rId46" ref="K42"/>
    <hyperlink r:id="rId47" ref="K43"/>
    <hyperlink r:id="rId48" ref="K44"/>
    <hyperlink r:id="rId49" ref="K45"/>
    <hyperlink r:id="rId50" ref="K46"/>
    <hyperlink r:id="rId51" ref="K47"/>
    <hyperlink r:id="rId52" ref="K48"/>
    <hyperlink r:id="rId53" ref="K49"/>
    <hyperlink r:id="rId54" ref="K50"/>
    <hyperlink r:id="rId55" ref="K51"/>
    <hyperlink r:id="rId56" ref="K52"/>
    <hyperlink r:id="rId57" ref="K53"/>
    <hyperlink r:id="rId58" ref="K54"/>
    <hyperlink r:id="rId59" ref="K55"/>
    <hyperlink r:id="rId60" ref="K56"/>
    <hyperlink r:id="rId61" ref="J57"/>
    <hyperlink r:id="rId62" ref="K57"/>
    <hyperlink r:id="rId63" ref="K58"/>
    <hyperlink r:id="rId64" ref="K59"/>
    <hyperlink r:id="rId65" ref="K60"/>
    <hyperlink r:id="rId66" ref="K61"/>
    <hyperlink r:id="rId67" ref="K62"/>
    <hyperlink r:id="rId68" ref="K63"/>
    <hyperlink r:id="rId69" ref="K64"/>
    <hyperlink r:id="rId70" ref="J65"/>
    <hyperlink r:id="rId71" ref="K65"/>
    <hyperlink r:id="rId72" ref="K66"/>
    <hyperlink r:id="rId73" ref="K67"/>
    <hyperlink r:id="rId74" ref="K68"/>
    <hyperlink r:id="rId75" ref="K69"/>
    <hyperlink r:id="rId76" ref="K70"/>
    <hyperlink r:id="rId77" ref="K71"/>
    <hyperlink r:id="rId78" ref="K72"/>
    <hyperlink r:id="rId79" ref="K73"/>
    <hyperlink r:id="rId80" ref="K74"/>
    <hyperlink r:id="rId81" ref="K75"/>
    <hyperlink r:id="rId82" ref="K76"/>
    <hyperlink r:id="rId83" ref="K77"/>
    <hyperlink r:id="rId84" ref="K78"/>
    <hyperlink r:id="rId85" ref="K79"/>
    <hyperlink r:id="rId86" ref="K80"/>
    <hyperlink r:id="rId87" ref="K81"/>
    <hyperlink r:id="rId88" ref="K82"/>
    <hyperlink r:id="rId89" ref="K83"/>
    <hyperlink r:id="rId90" ref="K84"/>
    <hyperlink r:id="rId91" ref="K85"/>
    <hyperlink r:id="rId92" ref="K86"/>
    <hyperlink r:id="rId93" ref="K87"/>
    <hyperlink r:id="rId94" ref="K88"/>
    <hyperlink r:id="rId95" ref="K89"/>
    <hyperlink r:id="rId96" ref="K90"/>
    <hyperlink r:id="rId97" ref="K91"/>
    <hyperlink r:id="rId98" ref="K92"/>
    <hyperlink r:id="rId99" ref="K93"/>
    <hyperlink r:id="rId100" ref="K94"/>
    <hyperlink r:id="rId101" ref="K95"/>
    <hyperlink r:id="rId102" ref="K96"/>
    <hyperlink r:id="rId103" ref="K97"/>
    <hyperlink r:id="rId104" ref="J98"/>
    <hyperlink r:id="rId105" ref="K98"/>
    <hyperlink r:id="rId106" ref="K99"/>
    <hyperlink r:id="rId107" ref="K100"/>
    <hyperlink r:id="rId108" ref="K101"/>
    <hyperlink r:id="rId109" ref="K102"/>
    <hyperlink r:id="rId110" ref="K103"/>
    <hyperlink r:id="rId111" ref="K104"/>
    <hyperlink r:id="rId112" ref="K105"/>
    <hyperlink r:id="rId113" ref="K106"/>
    <hyperlink r:id="rId114" ref="K107"/>
    <hyperlink r:id="rId115" ref="K108"/>
    <hyperlink r:id="rId116" ref="K109"/>
    <hyperlink r:id="rId117" ref="K110"/>
    <hyperlink r:id="rId118" ref="K111"/>
    <hyperlink r:id="rId119" ref="K112"/>
    <hyperlink r:id="rId120" ref="K113"/>
    <hyperlink r:id="rId121" ref="K114"/>
    <hyperlink r:id="rId122" ref="K115"/>
    <hyperlink r:id="rId123" ref="K116"/>
    <hyperlink r:id="rId124" ref="K117"/>
  </hyperlinks>
  <drawing r:id="rId12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hidden="1" min="3" max="3" width="12.63"/>
    <col hidden="1" min="6" max="8" width="12.63"/>
    <col customWidth="1" min="9" max="9" width="23.88"/>
    <col customWidth="1" min="13" max="13" width="54.63"/>
    <col customWidth="1" min="14" max="14" width="13.88"/>
    <col customWidth="1" min="15" max="15" width="16.0"/>
    <col customWidth="1" min="16" max="16" width="136.38"/>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26" t="s">
        <v>8</v>
      </c>
      <c r="P1" s="26" t="s">
        <v>9</v>
      </c>
      <c r="Q1" s="27"/>
      <c r="R1" s="27"/>
      <c r="S1" s="27"/>
      <c r="T1" s="27"/>
      <c r="U1" s="27"/>
      <c r="V1" s="27"/>
      <c r="W1" s="27"/>
      <c r="X1" s="27"/>
      <c r="Y1" s="27"/>
      <c r="Z1" s="27"/>
      <c r="AA1" s="27"/>
      <c r="AB1" s="27"/>
    </row>
    <row r="2">
      <c r="A2" s="28">
        <v>1332.0</v>
      </c>
      <c r="B2" s="29" t="s">
        <v>431</v>
      </c>
      <c r="C2" s="29" t="s">
        <v>432</v>
      </c>
      <c r="D2" s="29" t="s">
        <v>16</v>
      </c>
      <c r="E2" s="29" t="s">
        <v>17</v>
      </c>
      <c r="F2" s="30"/>
      <c r="G2" s="29" t="s">
        <v>433</v>
      </c>
      <c r="H2" s="29" t="s">
        <v>434</v>
      </c>
      <c r="I2" s="29" t="s">
        <v>435</v>
      </c>
      <c r="J2" s="30"/>
      <c r="K2" s="29" t="s">
        <v>436</v>
      </c>
      <c r="L2" s="29" t="s">
        <v>437</v>
      </c>
      <c r="M2" s="29" t="s">
        <v>438</v>
      </c>
      <c r="N2" s="29"/>
      <c r="O2" s="29"/>
      <c r="P2" s="29" t="s">
        <v>439</v>
      </c>
    </row>
    <row r="3">
      <c r="A3" s="28">
        <v>8234.0</v>
      </c>
      <c r="B3" s="29" t="s">
        <v>440</v>
      </c>
      <c r="C3" s="29" t="s">
        <v>432</v>
      </c>
      <c r="D3" s="29" t="s">
        <v>16</v>
      </c>
      <c r="E3" s="29" t="s">
        <v>17</v>
      </c>
      <c r="F3" s="30"/>
      <c r="G3" s="29" t="s">
        <v>441</v>
      </c>
      <c r="H3" s="29" t="s">
        <v>442</v>
      </c>
      <c r="I3" s="29" t="s">
        <v>443</v>
      </c>
      <c r="J3" s="30"/>
      <c r="K3" s="29" t="s">
        <v>444</v>
      </c>
      <c r="L3" s="29" t="s">
        <v>445</v>
      </c>
      <c r="M3" s="29" t="s">
        <v>446</v>
      </c>
      <c r="N3" s="29"/>
      <c r="O3" s="29"/>
      <c r="P3" s="29" t="s">
        <v>447</v>
      </c>
    </row>
    <row r="4">
      <c r="A4" s="28">
        <v>9582.0</v>
      </c>
      <c r="B4" s="29" t="s">
        <v>448</v>
      </c>
      <c r="C4" s="29" t="s">
        <v>449</v>
      </c>
      <c r="D4" s="29" t="s">
        <v>16</v>
      </c>
      <c r="E4" s="29" t="s">
        <v>17</v>
      </c>
      <c r="F4" s="30"/>
      <c r="G4" s="29" t="s">
        <v>450</v>
      </c>
      <c r="H4" s="29" t="s">
        <v>451</v>
      </c>
      <c r="I4" s="29" t="s">
        <v>452</v>
      </c>
      <c r="J4" s="30"/>
      <c r="K4" s="30"/>
      <c r="L4" s="29" t="s">
        <v>453</v>
      </c>
      <c r="M4" s="29" t="s">
        <v>454</v>
      </c>
      <c r="N4" s="29"/>
      <c r="O4" s="29"/>
      <c r="P4" s="29" t="s">
        <v>455</v>
      </c>
    </row>
    <row r="5">
      <c r="A5" s="28">
        <v>9589.0</v>
      </c>
      <c r="B5" s="29" t="s">
        <v>456</v>
      </c>
      <c r="C5" s="29" t="s">
        <v>432</v>
      </c>
      <c r="D5" s="29" t="s">
        <v>16</v>
      </c>
      <c r="E5" s="29" t="s">
        <v>17</v>
      </c>
      <c r="F5" s="30"/>
      <c r="G5" s="29" t="s">
        <v>441</v>
      </c>
      <c r="H5" s="29" t="s">
        <v>457</v>
      </c>
      <c r="I5" s="29" t="s">
        <v>443</v>
      </c>
      <c r="J5" s="30"/>
      <c r="K5" s="29" t="s">
        <v>458</v>
      </c>
      <c r="L5" s="29" t="s">
        <v>459</v>
      </c>
      <c r="M5" s="29" t="s">
        <v>460</v>
      </c>
      <c r="N5" s="29"/>
      <c r="O5" s="29"/>
      <c r="P5" s="29" t="s">
        <v>461</v>
      </c>
    </row>
    <row r="6">
      <c r="A6" s="28">
        <v>9593.0</v>
      </c>
      <c r="B6" s="29" t="s">
        <v>462</v>
      </c>
      <c r="C6" s="29" t="s">
        <v>432</v>
      </c>
      <c r="D6" s="29" t="s">
        <v>16</v>
      </c>
      <c r="E6" s="29" t="s">
        <v>17</v>
      </c>
      <c r="F6" s="30"/>
      <c r="G6" s="29" t="s">
        <v>433</v>
      </c>
      <c r="H6" s="29" t="s">
        <v>463</v>
      </c>
      <c r="I6" s="29" t="s">
        <v>443</v>
      </c>
      <c r="J6" s="30"/>
      <c r="K6" s="29" t="s">
        <v>464</v>
      </c>
      <c r="L6" s="29" t="s">
        <v>465</v>
      </c>
      <c r="M6" s="29" t="s">
        <v>466</v>
      </c>
      <c r="N6" s="29"/>
      <c r="O6" s="29"/>
      <c r="P6" s="29" t="s">
        <v>467</v>
      </c>
    </row>
    <row r="7">
      <c r="A7" s="28">
        <v>10108.0</v>
      </c>
      <c r="B7" s="29" t="s">
        <v>468</v>
      </c>
      <c r="C7" s="29" t="s">
        <v>432</v>
      </c>
      <c r="D7" s="29" t="s">
        <v>16</v>
      </c>
      <c r="E7" s="29" t="s">
        <v>17</v>
      </c>
      <c r="F7" s="30"/>
      <c r="G7" s="29" t="s">
        <v>433</v>
      </c>
      <c r="H7" s="29" t="s">
        <v>469</v>
      </c>
      <c r="I7" s="29" t="s">
        <v>443</v>
      </c>
      <c r="J7" s="30"/>
      <c r="K7" s="29" t="s">
        <v>470</v>
      </c>
      <c r="L7" s="29" t="s">
        <v>465</v>
      </c>
      <c r="M7" s="29" t="s">
        <v>471</v>
      </c>
      <c r="N7" s="29"/>
      <c r="O7" s="29"/>
      <c r="P7" s="29" t="s">
        <v>472</v>
      </c>
    </row>
    <row r="8">
      <c r="A8" s="28">
        <v>1361.0</v>
      </c>
      <c r="B8" s="29" t="s">
        <v>473</v>
      </c>
      <c r="C8" s="29" t="s">
        <v>449</v>
      </c>
      <c r="D8" s="29" t="s">
        <v>68</v>
      </c>
      <c r="E8" s="29" t="s">
        <v>69</v>
      </c>
      <c r="F8" s="30"/>
      <c r="G8" s="29" t="s">
        <v>441</v>
      </c>
      <c r="H8" s="29" t="s">
        <v>474</v>
      </c>
      <c r="I8" s="29" t="s">
        <v>41</v>
      </c>
      <c r="J8" s="30"/>
      <c r="K8" s="29" t="s">
        <v>475</v>
      </c>
      <c r="L8" s="29" t="s">
        <v>476</v>
      </c>
      <c r="M8" s="29" t="s">
        <v>477</v>
      </c>
      <c r="N8" s="29"/>
      <c r="O8" s="29"/>
      <c r="P8" s="29" t="s">
        <v>478</v>
      </c>
    </row>
    <row r="9">
      <c r="A9" s="28">
        <v>1369.0</v>
      </c>
      <c r="B9" s="29" t="s">
        <v>479</v>
      </c>
      <c r="C9" s="29" t="s">
        <v>449</v>
      </c>
      <c r="D9" s="29" t="s">
        <v>68</v>
      </c>
      <c r="E9" s="29" t="s">
        <v>69</v>
      </c>
      <c r="F9" s="30"/>
      <c r="G9" s="29" t="s">
        <v>441</v>
      </c>
      <c r="H9" s="29" t="s">
        <v>434</v>
      </c>
      <c r="I9" s="29" t="s">
        <v>41</v>
      </c>
      <c r="J9" s="30"/>
      <c r="K9" s="29" t="s">
        <v>475</v>
      </c>
      <c r="L9" s="29" t="s">
        <v>476</v>
      </c>
      <c r="M9" s="29" t="s">
        <v>480</v>
      </c>
      <c r="N9" s="29"/>
      <c r="O9" s="29"/>
      <c r="P9" s="29" t="s">
        <v>481</v>
      </c>
    </row>
    <row r="10">
      <c r="A10" s="28">
        <v>2024.0</v>
      </c>
      <c r="B10" s="29" t="s">
        <v>81</v>
      </c>
      <c r="C10" s="29" t="s">
        <v>449</v>
      </c>
      <c r="D10" s="29" t="s">
        <v>68</v>
      </c>
      <c r="E10" s="29" t="s">
        <v>69</v>
      </c>
      <c r="F10" s="29" t="s">
        <v>433</v>
      </c>
      <c r="G10" s="29" t="s">
        <v>433</v>
      </c>
      <c r="H10" s="29" t="s">
        <v>482</v>
      </c>
      <c r="I10" s="29" t="s">
        <v>41</v>
      </c>
      <c r="J10" s="30"/>
      <c r="K10" s="29" t="s">
        <v>483</v>
      </c>
      <c r="L10" s="29" t="s">
        <v>484</v>
      </c>
      <c r="M10" s="29" t="s">
        <v>485</v>
      </c>
      <c r="N10" s="29"/>
      <c r="O10" s="29"/>
      <c r="P10" s="29" t="s">
        <v>486</v>
      </c>
    </row>
    <row r="11">
      <c r="A11" s="28">
        <v>10164.0</v>
      </c>
      <c r="B11" s="29" t="s">
        <v>487</v>
      </c>
      <c r="C11" s="29" t="s">
        <v>449</v>
      </c>
      <c r="D11" s="29" t="s">
        <v>68</v>
      </c>
      <c r="E11" s="29" t="s">
        <v>69</v>
      </c>
      <c r="F11" s="30"/>
      <c r="G11" s="29" t="s">
        <v>441</v>
      </c>
      <c r="H11" s="29" t="s">
        <v>469</v>
      </c>
      <c r="I11" s="29" t="s">
        <v>45</v>
      </c>
      <c r="J11" s="30"/>
      <c r="K11" s="29" t="s">
        <v>488</v>
      </c>
      <c r="L11" s="29" t="s">
        <v>489</v>
      </c>
      <c r="M11" s="29" t="s">
        <v>490</v>
      </c>
      <c r="N11" s="29"/>
      <c r="O11" s="29"/>
      <c r="P11" s="29" t="s">
        <v>491</v>
      </c>
    </row>
    <row r="12">
      <c r="A12" s="28">
        <v>1372.0</v>
      </c>
      <c r="B12" s="29" t="s">
        <v>492</v>
      </c>
      <c r="C12" s="29" t="s">
        <v>432</v>
      </c>
      <c r="D12" s="29" t="s">
        <v>100</v>
      </c>
      <c r="E12" s="29" t="s">
        <v>101</v>
      </c>
      <c r="F12" s="30"/>
      <c r="G12" s="29" t="s">
        <v>441</v>
      </c>
      <c r="H12" s="29" t="s">
        <v>469</v>
      </c>
      <c r="I12" s="29" t="s">
        <v>443</v>
      </c>
      <c r="J12" s="30"/>
      <c r="K12" s="29" t="s">
        <v>493</v>
      </c>
      <c r="L12" s="29" t="s">
        <v>489</v>
      </c>
      <c r="M12" s="29" t="s">
        <v>494</v>
      </c>
      <c r="N12" s="29"/>
      <c r="O12" s="29"/>
      <c r="P12" s="29" t="s">
        <v>495</v>
      </c>
    </row>
    <row r="13">
      <c r="A13" s="28">
        <v>1377.0</v>
      </c>
      <c r="B13" s="29" t="s">
        <v>496</v>
      </c>
      <c r="C13" s="29" t="s">
        <v>432</v>
      </c>
      <c r="D13" s="29" t="s">
        <v>100</v>
      </c>
      <c r="E13" s="29" t="s">
        <v>101</v>
      </c>
      <c r="F13" s="30"/>
      <c r="G13" s="29" t="s">
        <v>441</v>
      </c>
      <c r="H13" s="29" t="s">
        <v>469</v>
      </c>
      <c r="I13" s="29" t="s">
        <v>443</v>
      </c>
      <c r="J13" s="30"/>
      <c r="K13" s="29" t="s">
        <v>493</v>
      </c>
      <c r="L13" s="29" t="s">
        <v>489</v>
      </c>
      <c r="M13" s="29" t="s">
        <v>497</v>
      </c>
      <c r="N13" s="29"/>
      <c r="O13" s="29"/>
      <c r="P13" s="29" t="s">
        <v>498</v>
      </c>
    </row>
    <row r="14">
      <c r="A14" s="28">
        <v>1378.0</v>
      </c>
      <c r="B14" s="29" t="s">
        <v>499</v>
      </c>
      <c r="C14" s="29" t="s">
        <v>432</v>
      </c>
      <c r="D14" s="29" t="s">
        <v>100</v>
      </c>
      <c r="E14" s="29" t="s">
        <v>101</v>
      </c>
      <c r="F14" s="30"/>
      <c r="G14" s="29" t="s">
        <v>441</v>
      </c>
      <c r="H14" s="29" t="s">
        <v>469</v>
      </c>
      <c r="I14" s="29" t="s">
        <v>443</v>
      </c>
      <c r="J14" s="30"/>
      <c r="K14" s="29" t="s">
        <v>493</v>
      </c>
      <c r="L14" s="29" t="s">
        <v>489</v>
      </c>
      <c r="M14" s="29" t="s">
        <v>500</v>
      </c>
      <c r="N14" s="29"/>
      <c r="O14" s="29"/>
      <c r="P14" s="29" t="s">
        <v>501</v>
      </c>
    </row>
    <row r="15">
      <c r="A15" s="28">
        <v>1380.0</v>
      </c>
      <c r="B15" s="29" t="s">
        <v>502</v>
      </c>
      <c r="C15" s="29" t="s">
        <v>432</v>
      </c>
      <c r="D15" s="29" t="s">
        <v>100</v>
      </c>
      <c r="E15" s="29" t="s">
        <v>101</v>
      </c>
      <c r="F15" s="30"/>
      <c r="G15" s="29" t="s">
        <v>441</v>
      </c>
      <c r="H15" s="29" t="s">
        <v>503</v>
      </c>
      <c r="I15" s="29" t="s">
        <v>443</v>
      </c>
      <c r="J15" s="30"/>
      <c r="K15" s="29" t="s">
        <v>493</v>
      </c>
      <c r="L15" s="29" t="s">
        <v>489</v>
      </c>
      <c r="M15" s="29" t="s">
        <v>504</v>
      </c>
      <c r="N15" s="29"/>
      <c r="O15" s="29"/>
      <c r="P15" s="29" t="s">
        <v>505</v>
      </c>
    </row>
    <row r="16">
      <c r="A16" s="28">
        <v>1381.0</v>
      </c>
      <c r="B16" s="29" t="s">
        <v>506</v>
      </c>
      <c r="C16" s="29" t="s">
        <v>449</v>
      </c>
      <c r="D16" s="29" t="s">
        <v>100</v>
      </c>
      <c r="E16" s="29" t="s">
        <v>101</v>
      </c>
      <c r="F16" s="30"/>
      <c r="G16" s="29" t="s">
        <v>441</v>
      </c>
      <c r="H16" s="29" t="s">
        <v>503</v>
      </c>
      <c r="I16" s="29" t="s">
        <v>41</v>
      </c>
      <c r="J16" s="30"/>
      <c r="K16" s="29" t="s">
        <v>493</v>
      </c>
      <c r="L16" s="29" t="s">
        <v>489</v>
      </c>
      <c r="M16" s="29" t="s">
        <v>507</v>
      </c>
      <c r="N16" s="29"/>
      <c r="O16" s="29"/>
      <c r="P16" s="29" t="s">
        <v>508</v>
      </c>
    </row>
    <row r="17">
      <c r="A17" s="28">
        <v>10248.0</v>
      </c>
      <c r="B17" s="29" t="s">
        <v>509</v>
      </c>
      <c r="C17" s="29" t="s">
        <v>432</v>
      </c>
      <c r="D17" s="29" t="s">
        <v>100</v>
      </c>
      <c r="E17" s="29" t="s">
        <v>101</v>
      </c>
      <c r="F17" s="30"/>
      <c r="G17" s="29" t="s">
        <v>441</v>
      </c>
      <c r="H17" s="29" t="s">
        <v>510</v>
      </c>
      <c r="I17" s="29" t="s">
        <v>272</v>
      </c>
      <c r="J17" s="30"/>
      <c r="K17" s="30"/>
      <c r="L17" s="29" t="s">
        <v>511</v>
      </c>
      <c r="M17" s="29" t="s">
        <v>512</v>
      </c>
      <c r="N17" s="29"/>
      <c r="O17" s="29"/>
      <c r="P17" s="29" t="s">
        <v>513</v>
      </c>
    </row>
    <row r="18">
      <c r="A18" s="28">
        <v>10251.0</v>
      </c>
      <c r="B18" s="29" t="s">
        <v>514</v>
      </c>
      <c r="C18" s="29" t="s">
        <v>432</v>
      </c>
      <c r="D18" s="29" t="s">
        <v>100</v>
      </c>
      <c r="E18" s="29" t="s">
        <v>101</v>
      </c>
      <c r="F18" s="30"/>
      <c r="G18" s="29" t="s">
        <v>441</v>
      </c>
      <c r="H18" s="29" t="s">
        <v>434</v>
      </c>
      <c r="I18" s="29" t="s">
        <v>144</v>
      </c>
      <c r="J18" s="30"/>
      <c r="K18" s="30"/>
      <c r="L18" s="29" t="s">
        <v>515</v>
      </c>
      <c r="M18" s="29" t="s">
        <v>516</v>
      </c>
      <c r="N18" s="29"/>
      <c r="O18" s="29"/>
      <c r="P18" s="29" t="s">
        <v>517</v>
      </c>
    </row>
    <row r="19">
      <c r="A19" s="28">
        <v>1385.0</v>
      </c>
      <c r="B19" s="29" t="s">
        <v>518</v>
      </c>
      <c r="C19" s="29" t="s">
        <v>432</v>
      </c>
      <c r="D19" s="29" t="s">
        <v>151</v>
      </c>
      <c r="E19" s="29" t="s">
        <v>152</v>
      </c>
      <c r="F19" s="30"/>
      <c r="G19" s="29" t="s">
        <v>441</v>
      </c>
      <c r="H19" s="29" t="s">
        <v>519</v>
      </c>
      <c r="I19" s="29" t="s">
        <v>520</v>
      </c>
      <c r="J19" s="30"/>
      <c r="K19" s="29" t="s">
        <v>521</v>
      </c>
      <c r="L19" s="29" t="s">
        <v>522</v>
      </c>
      <c r="M19" s="29" t="s">
        <v>523</v>
      </c>
      <c r="N19" s="29"/>
      <c r="O19" s="29"/>
      <c r="P19" s="29" t="s">
        <v>524</v>
      </c>
    </row>
    <row r="20">
      <c r="A20" s="28">
        <v>1391.0</v>
      </c>
      <c r="B20" s="29" t="s">
        <v>525</v>
      </c>
      <c r="C20" s="29" t="s">
        <v>449</v>
      </c>
      <c r="D20" s="29" t="s">
        <v>151</v>
      </c>
      <c r="E20" s="29" t="s">
        <v>152</v>
      </c>
      <c r="F20" s="30"/>
      <c r="G20" s="29" t="s">
        <v>441</v>
      </c>
      <c r="H20" s="29" t="s">
        <v>526</v>
      </c>
      <c r="I20" s="29" t="s">
        <v>41</v>
      </c>
      <c r="J20" s="30"/>
      <c r="K20" s="29" t="s">
        <v>527</v>
      </c>
      <c r="L20" s="29" t="s">
        <v>459</v>
      </c>
      <c r="M20" s="29" t="s">
        <v>528</v>
      </c>
      <c r="N20" s="29"/>
      <c r="O20" s="29"/>
      <c r="P20" s="29" t="s">
        <v>529</v>
      </c>
    </row>
    <row r="21">
      <c r="A21" s="28">
        <v>1393.0</v>
      </c>
      <c r="B21" s="29" t="s">
        <v>530</v>
      </c>
      <c r="C21" s="29" t="s">
        <v>449</v>
      </c>
      <c r="D21" s="29" t="s">
        <v>151</v>
      </c>
      <c r="E21" s="29" t="s">
        <v>152</v>
      </c>
      <c r="F21" s="30"/>
      <c r="G21" s="29" t="s">
        <v>441</v>
      </c>
      <c r="H21" s="29" t="s">
        <v>531</v>
      </c>
      <c r="I21" s="29" t="s">
        <v>41</v>
      </c>
      <c r="J21" s="30"/>
      <c r="K21" s="29" t="s">
        <v>532</v>
      </c>
      <c r="L21" s="29" t="s">
        <v>533</v>
      </c>
      <c r="M21" s="29" t="s">
        <v>534</v>
      </c>
      <c r="N21" s="29"/>
      <c r="O21" s="29"/>
      <c r="P21" s="29" t="s">
        <v>535</v>
      </c>
    </row>
    <row r="22">
      <c r="A22" s="28">
        <v>1394.0</v>
      </c>
      <c r="B22" s="29" t="s">
        <v>536</v>
      </c>
      <c r="C22" s="29" t="s">
        <v>432</v>
      </c>
      <c r="D22" s="29" t="s">
        <v>151</v>
      </c>
      <c r="E22" s="29" t="s">
        <v>152</v>
      </c>
      <c r="F22" s="30"/>
      <c r="G22" s="29" t="s">
        <v>441</v>
      </c>
      <c r="H22" s="30"/>
      <c r="I22" s="29" t="s">
        <v>435</v>
      </c>
      <c r="J22" s="30"/>
      <c r="K22" s="29" t="s">
        <v>537</v>
      </c>
      <c r="L22" s="29" t="s">
        <v>538</v>
      </c>
      <c r="M22" s="29" t="s">
        <v>539</v>
      </c>
      <c r="N22" s="29"/>
      <c r="O22" s="29"/>
      <c r="P22" s="29" t="s">
        <v>540</v>
      </c>
    </row>
    <row r="23">
      <c r="A23" s="28">
        <v>1397.0</v>
      </c>
      <c r="B23" s="29" t="s">
        <v>541</v>
      </c>
      <c r="C23" s="29" t="s">
        <v>449</v>
      </c>
      <c r="D23" s="29" t="s">
        <v>151</v>
      </c>
      <c r="E23" s="29" t="s">
        <v>152</v>
      </c>
      <c r="F23" s="30"/>
      <c r="G23" s="29" t="s">
        <v>441</v>
      </c>
      <c r="H23" s="30"/>
      <c r="I23" s="29" t="s">
        <v>41</v>
      </c>
      <c r="J23" s="30"/>
      <c r="K23" s="29" t="s">
        <v>542</v>
      </c>
      <c r="L23" s="29" t="s">
        <v>489</v>
      </c>
      <c r="M23" s="29" t="s">
        <v>543</v>
      </c>
      <c r="N23" s="29"/>
      <c r="O23" s="29"/>
      <c r="P23" s="29" t="s">
        <v>544</v>
      </c>
    </row>
    <row r="24">
      <c r="A24" s="28">
        <v>1400.0</v>
      </c>
      <c r="B24" s="29" t="s">
        <v>545</v>
      </c>
      <c r="C24" s="29" t="s">
        <v>432</v>
      </c>
      <c r="D24" s="29" t="s">
        <v>151</v>
      </c>
      <c r="E24" s="29" t="s">
        <v>152</v>
      </c>
      <c r="F24" s="30"/>
      <c r="G24" s="29" t="s">
        <v>441</v>
      </c>
      <c r="H24" s="29" t="s">
        <v>546</v>
      </c>
      <c r="I24" s="29" t="s">
        <v>137</v>
      </c>
      <c r="J24" s="30"/>
      <c r="K24" s="29" t="s">
        <v>547</v>
      </c>
      <c r="L24" s="30"/>
      <c r="M24" s="29" t="s">
        <v>548</v>
      </c>
      <c r="N24" s="29"/>
      <c r="O24" s="29"/>
      <c r="P24" s="29" t="s">
        <v>549</v>
      </c>
    </row>
    <row r="25">
      <c r="A25" s="28">
        <v>2004.0</v>
      </c>
      <c r="B25" s="29" t="s">
        <v>550</v>
      </c>
      <c r="C25" s="29" t="s">
        <v>432</v>
      </c>
      <c r="D25" s="29" t="s">
        <v>151</v>
      </c>
      <c r="E25" s="29" t="s">
        <v>152</v>
      </c>
      <c r="F25" s="29" t="s">
        <v>450</v>
      </c>
      <c r="G25" s="29" t="s">
        <v>450</v>
      </c>
      <c r="H25" s="29" t="s">
        <v>551</v>
      </c>
      <c r="I25" s="29" t="s">
        <v>520</v>
      </c>
      <c r="J25" s="29" t="s">
        <v>552</v>
      </c>
      <c r="K25" s="29" t="s">
        <v>450</v>
      </c>
      <c r="L25" s="29" t="s">
        <v>553</v>
      </c>
      <c r="M25" s="29" t="s">
        <v>554</v>
      </c>
      <c r="N25" s="29"/>
      <c r="O25" s="29"/>
      <c r="P25" s="29" t="s">
        <v>555</v>
      </c>
    </row>
    <row r="26">
      <c r="A26" s="28">
        <v>2044.0</v>
      </c>
      <c r="B26" s="29" t="s">
        <v>556</v>
      </c>
      <c r="C26" s="29" t="s">
        <v>432</v>
      </c>
      <c r="D26" s="29" t="s">
        <v>151</v>
      </c>
      <c r="E26" s="29" t="s">
        <v>152</v>
      </c>
      <c r="F26" s="30"/>
      <c r="G26" s="29" t="s">
        <v>441</v>
      </c>
      <c r="H26" s="30"/>
      <c r="I26" s="29" t="s">
        <v>435</v>
      </c>
      <c r="J26" s="30"/>
      <c r="K26" s="29" t="s">
        <v>537</v>
      </c>
      <c r="L26" s="29" t="s">
        <v>489</v>
      </c>
      <c r="M26" s="29" t="s">
        <v>557</v>
      </c>
      <c r="N26" s="29"/>
      <c r="O26" s="29"/>
      <c r="P26" s="29" t="s">
        <v>558</v>
      </c>
    </row>
    <row r="27">
      <c r="A27" s="28">
        <v>9436.0</v>
      </c>
      <c r="B27" s="29" t="s">
        <v>559</v>
      </c>
      <c r="C27" s="29" t="s">
        <v>449</v>
      </c>
      <c r="D27" s="29" t="s">
        <v>151</v>
      </c>
      <c r="E27" s="29" t="s">
        <v>152</v>
      </c>
      <c r="F27" s="30"/>
      <c r="G27" s="29" t="s">
        <v>441</v>
      </c>
      <c r="H27" s="29" t="s">
        <v>560</v>
      </c>
      <c r="I27" s="29" t="s">
        <v>217</v>
      </c>
      <c r="J27" s="30"/>
      <c r="K27" s="29" t="s">
        <v>561</v>
      </c>
      <c r="L27" s="29" t="s">
        <v>562</v>
      </c>
      <c r="M27" s="29" t="s">
        <v>563</v>
      </c>
      <c r="N27" s="29"/>
      <c r="O27" s="29"/>
      <c r="P27" s="29" t="s">
        <v>564</v>
      </c>
    </row>
    <row r="28">
      <c r="A28" s="28">
        <v>9506.0</v>
      </c>
      <c r="B28" s="29" t="s">
        <v>565</v>
      </c>
      <c r="C28" s="29" t="s">
        <v>432</v>
      </c>
      <c r="D28" s="29" t="s">
        <v>151</v>
      </c>
      <c r="E28" s="29" t="s">
        <v>152</v>
      </c>
      <c r="F28" s="30"/>
      <c r="G28" s="29" t="s">
        <v>433</v>
      </c>
      <c r="H28" s="29" t="s">
        <v>566</v>
      </c>
      <c r="I28" s="29" t="s">
        <v>234</v>
      </c>
      <c r="J28" s="29" t="s">
        <v>567</v>
      </c>
      <c r="K28" s="29" t="s">
        <v>568</v>
      </c>
      <c r="L28" s="29" t="s">
        <v>569</v>
      </c>
      <c r="M28" s="29" t="s">
        <v>570</v>
      </c>
      <c r="N28" s="29"/>
      <c r="O28" s="29"/>
      <c r="P28" s="29" t="s">
        <v>571</v>
      </c>
    </row>
    <row r="29">
      <c r="A29" s="28">
        <v>10489.0</v>
      </c>
      <c r="B29" s="29" t="s">
        <v>572</v>
      </c>
      <c r="C29" s="29" t="s">
        <v>432</v>
      </c>
      <c r="D29" s="29" t="s">
        <v>151</v>
      </c>
      <c r="E29" s="29" t="s">
        <v>152</v>
      </c>
      <c r="F29" s="30"/>
      <c r="G29" s="29" t="s">
        <v>441</v>
      </c>
      <c r="H29" s="29" t="s">
        <v>573</v>
      </c>
      <c r="I29" s="29" t="s">
        <v>234</v>
      </c>
      <c r="J29" s="30"/>
      <c r="K29" s="29" t="s">
        <v>574</v>
      </c>
      <c r="L29" s="29" t="s">
        <v>575</v>
      </c>
      <c r="M29" s="29" t="s">
        <v>576</v>
      </c>
      <c r="N29" s="29"/>
      <c r="O29" s="29"/>
      <c r="P29" s="29" t="s">
        <v>577</v>
      </c>
    </row>
    <row r="30">
      <c r="A30" s="28">
        <v>1406.0</v>
      </c>
      <c r="B30" s="29" t="s">
        <v>578</v>
      </c>
      <c r="C30" s="29" t="s">
        <v>432</v>
      </c>
      <c r="D30" s="29" t="s">
        <v>251</v>
      </c>
      <c r="E30" s="29" t="s">
        <v>252</v>
      </c>
      <c r="F30" s="30"/>
      <c r="G30" s="29" t="s">
        <v>450</v>
      </c>
      <c r="H30" s="29" t="s">
        <v>579</v>
      </c>
      <c r="I30" s="29" t="s">
        <v>580</v>
      </c>
      <c r="J30" s="30"/>
      <c r="K30" s="29" t="s">
        <v>581</v>
      </c>
      <c r="L30" s="29" t="s">
        <v>582</v>
      </c>
      <c r="M30" s="29" t="s">
        <v>583</v>
      </c>
      <c r="N30" s="29"/>
      <c r="O30" s="29"/>
      <c r="P30" s="29" t="s">
        <v>584</v>
      </c>
    </row>
    <row r="31">
      <c r="A31" s="28">
        <v>2025.0</v>
      </c>
      <c r="B31" s="29" t="s">
        <v>585</v>
      </c>
      <c r="C31" s="29" t="s">
        <v>432</v>
      </c>
      <c r="D31" s="29" t="s">
        <v>251</v>
      </c>
      <c r="E31" s="29" t="s">
        <v>252</v>
      </c>
      <c r="F31" s="29" t="s">
        <v>433</v>
      </c>
      <c r="G31" s="29" t="s">
        <v>450</v>
      </c>
      <c r="H31" s="29" t="s">
        <v>586</v>
      </c>
      <c r="I31" s="29" t="s">
        <v>407</v>
      </c>
      <c r="J31" s="30"/>
      <c r="K31" s="29" t="s">
        <v>587</v>
      </c>
      <c r="L31" s="29" t="s">
        <v>588</v>
      </c>
      <c r="M31" s="29" t="s">
        <v>589</v>
      </c>
      <c r="N31" s="29"/>
      <c r="O31" s="29"/>
      <c r="P31" s="29" t="s">
        <v>590</v>
      </c>
    </row>
    <row r="32">
      <c r="A32" s="28">
        <v>1409.0</v>
      </c>
      <c r="B32" s="29" t="s">
        <v>591</v>
      </c>
      <c r="C32" s="29" t="s">
        <v>449</v>
      </c>
      <c r="D32" s="29" t="s">
        <v>266</v>
      </c>
      <c r="E32" s="29" t="s">
        <v>267</v>
      </c>
      <c r="F32" s="30"/>
      <c r="G32" s="29" t="s">
        <v>441</v>
      </c>
      <c r="H32" s="29" t="s">
        <v>592</v>
      </c>
      <c r="I32" s="29" t="s">
        <v>41</v>
      </c>
      <c r="J32" s="30"/>
      <c r="K32" s="29" t="s">
        <v>537</v>
      </c>
      <c r="L32" s="29" t="s">
        <v>593</v>
      </c>
      <c r="M32" s="29" t="s">
        <v>594</v>
      </c>
      <c r="N32" s="29"/>
      <c r="O32" s="29"/>
      <c r="P32" s="29" t="s">
        <v>595</v>
      </c>
    </row>
    <row r="33">
      <c r="A33" s="28">
        <v>1413.0</v>
      </c>
      <c r="B33" s="29" t="s">
        <v>596</v>
      </c>
      <c r="C33" s="29" t="s">
        <v>449</v>
      </c>
      <c r="D33" s="29" t="s">
        <v>266</v>
      </c>
      <c r="E33" s="29" t="s">
        <v>267</v>
      </c>
      <c r="F33" s="29" t="s">
        <v>441</v>
      </c>
      <c r="G33" s="29" t="s">
        <v>441</v>
      </c>
      <c r="H33" s="29" t="s">
        <v>597</v>
      </c>
      <c r="I33" s="29" t="s">
        <v>41</v>
      </c>
      <c r="J33" s="30"/>
      <c r="K33" s="29" t="s">
        <v>598</v>
      </c>
      <c r="L33" s="29" t="s">
        <v>459</v>
      </c>
      <c r="M33" s="29" t="s">
        <v>599</v>
      </c>
      <c r="N33" s="29"/>
      <c r="O33" s="29"/>
      <c r="P33" s="29" t="s">
        <v>600</v>
      </c>
    </row>
    <row r="34">
      <c r="A34" s="28">
        <v>8645.0</v>
      </c>
      <c r="B34" s="29" t="s">
        <v>601</v>
      </c>
      <c r="C34" s="29" t="s">
        <v>432</v>
      </c>
      <c r="D34" s="29" t="s">
        <v>266</v>
      </c>
      <c r="E34" s="29" t="s">
        <v>267</v>
      </c>
      <c r="F34" s="29" t="s">
        <v>441</v>
      </c>
      <c r="G34" s="29" t="s">
        <v>441</v>
      </c>
      <c r="H34" s="29" t="s">
        <v>482</v>
      </c>
      <c r="I34" s="29" t="s">
        <v>234</v>
      </c>
      <c r="J34" s="30"/>
      <c r="K34" s="29" t="s">
        <v>602</v>
      </c>
      <c r="L34" s="29" t="s">
        <v>511</v>
      </c>
      <c r="M34" s="29" t="s">
        <v>603</v>
      </c>
      <c r="N34" s="29"/>
      <c r="O34" s="29"/>
      <c r="P34" s="29" t="s">
        <v>604</v>
      </c>
    </row>
    <row r="35">
      <c r="A35" s="28">
        <v>8646.0</v>
      </c>
      <c r="B35" s="29" t="s">
        <v>605</v>
      </c>
      <c r="C35" s="29" t="s">
        <v>432</v>
      </c>
      <c r="D35" s="29" t="s">
        <v>266</v>
      </c>
      <c r="E35" s="29" t="s">
        <v>267</v>
      </c>
      <c r="F35" s="30"/>
      <c r="G35" s="29" t="s">
        <v>441</v>
      </c>
      <c r="H35" s="30"/>
      <c r="I35" s="29" t="s">
        <v>234</v>
      </c>
      <c r="J35" s="30"/>
      <c r="K35" s="29" t="s">
        <v>606</v>
      </c>
      <c r="L35" s="29" t="s">
        <v>489</v>
      </c>
      <c r="M35" s="29" t="s">
        <v>607</v>
      </c>
      <c r="N35" s="29"/>
      <c r="O35" s="29"/>
      <c r="P35" s="29" t="s">
        <v>608</v>
      </c>
    </row>
    <row r="36">
      <c r="A36" s="28">
        <v>8647.0</v>
      </c>
      <c r="B36" s="29" t="s">
        <v>609</v>
      </c>
      <c r="C36" s="29" t="s">
        <v>432</v>
      </c>
      <c r="D36" s="29" t="s">
        <v>266</v>
      </c>
      <c r="E36" s="29" t="s">
        <v>267</v>
      </c>
      <c r="F36" s="29" t="s">
        <v>450</v>
      </c>
      <c r="G36" s="29" t="s">
        <v>610</v>
      </c>
      <c r="H36" s="29" t="s">
        <v>551</v>
      </c>
      <c r="I36" s="29" t="s">
        <v>234</v>
      </c>
      <c r="J36" s="29" t="s">
        <v>611</v>
      </c>
      <c r="K36" s="29" t="s">
        <v>450</v>
      </c>
      <c r="L36" s="29" t="s">
        <v>612</v>
      </c>
      <c r="M36" s="29" t="s">
        <v>613</v>
      </c>
      <c r="N36" s="29"/>
      <c r="O36" s="29"/>
      <c r="P36" s="29" t="s">
        <v>614</v>
      </c>
    </row>
    <row r="37">
      <c r="A37" s="28">
        <v>9767.0</v>
      </c>
      <c r="B37" s="29" t="s">
        <v>315</v>
      </c>
      <c r="C37" s="29" t="s">
        <v>432</v>
      </c>
      <c r="D37" s="29" t="s">
        <v>266</v>
      </c>
      <c r="E37" s="29" t="s">
        <v>267</v>
      </c>
      <c r="F37" s="30"/>
      <c r="G37" s="29" t="s">
        <v>441</v>
      </c>
      <c r="H37" s="29" t="s">
        <v>615</v>
      </c>
      <c r="I37" s="29" t="s">
        <v>144</v>
      </c>
      <c r="J37" s="30"/>
      <c r="K37" s="29" t="s">
        <v>616</v>
      </c>
      <c r="L37" s="29" t="s">
        <v>617</v>
      </c>
      <c r="M37" s="29" t="s">
        <v>618</v>
      </c>
      <c r="N37" s="29"/>
      <c r="O37" s="29"/>
      <c r="P37" s="29" t="s">
        <v>619</v>
      </c>
    </row>
    <row r="38">
      <c r="A38" s="28">
        <v>9768.0</v>
      </c>
      <c r="B38" s="29" t="s">
        <v>318</v>
      </c>
      <c r="C38" s="29" t="s">
        <v>432</v>
      </c>
      <c r="D38" s="29" t="s">
        <v>266</v>
      </c>
      <c r="E38" s="29" t="s">
        <v>267</v>
      </c>
      <c r="F38" s="30"/>
      <c r="G38" s="29" t="s">
        <v>441</v>
      </c>
      <c r="H38" s="29" t="s">
        <v>434</v>
      </c>
      <c r="I38" s="29" t="s">
        <v>144</v>
      </c>
      <c r="J38" s="30"/>
      <c r="K38" s="29" t="s">
        <v>620</v>
      </c>
      <c r="L38" s="29" t="s">
        <v>621</v>
      </c>
      <c r="M38" s="29" t="s">
        <v>622</v>
      </c>
      <c r="N38" s="29"/>
      <c r="O38" s="29"/>
      <c r="P38" s="29" t="s">
        <v>623</v>
      </c>
    </row>
    <row r="39">
      <c r="A39" s="28">
        <v>10334.0</v>
      </c>
      <c r="B39" s="29" t="s">
        <v>323</v>
      </c>
      <c r="C39" s="29" t="s">
        <v>432</v>
      </c>
      <c r="D39" s="29" t="s">
        <v>266</v>
      </c>
      <c r="E39" s="29" t="s">
        <v>267</v>
      </c>
      <c r="F39" s="30"/>
      <c r="G39" s="29" t="s">
        <v>433</v>
      </c>
      <c r="H39" s="29" t="s">
        <v>624</v>
      </c>
      <c r="I39" s="29" t="s">
        <v>144</v>
      </c>
      <c r="J39" s="30"/>
      <c r="K39" s="29" t="s">
        <v>625</v>
      </c>
      <c r="L39" s="29" t="s">
        <v>626</v>
      </c>
      <c r="M39" s="29" t="s">
        <v>627</v>
      </c>
      <c r="N39" s="29"/>
      <c r="O39" s="29"/>
      <c r="P39" s="29" t="s">
        <v>628</v>
      </c>
    </row>
    <row r="40">
      <c r="A40" s="28">
        <v>10397.0</v>
      </c>
      <c r="B40" s="29" t="s">
        <v>629</v>
      </c>
      <c r="C40" s="29" t="s">
        <v>432</v>
      </c>
      <c r="D40" s="29" t="s">
        <v>333</v>
      </c>
      <c r="E40" s="29" t="s">
        <v>334</v>
      </c>
      <c r="F40" s="30"/>
      <c r="G40" s="29" t="s">
        <v>433</v>
      </c>
      <c r="H40" s="29" t="s">
        <v>630</v>
      </c>
      <c r="I40" s="29" t="s">
        <v>443</v>
      </c>
      <c r="J40" s="30"/>
      <c r="K40" s="30"/>
      <c r="L40" s="29" t="s">
        <v>511</v>
      </c>
      <c r="M40" s="29" t="s">
        <v>631</v>
      </c>
      <c r="N40" s="29"/>
      <c r="O40" s="29"/>
      <c r="P40" s="29" t="s">
        <v>632</v>
      </c>
    </row>
    <row r="41">
      <c r="A41" s="28">
        <v>1423.0</v>
      </c>
      <c r="B41" s="29" t="s">
        <v>633</v>
      </c>
      <c r="C41" s="29" t="s">
        <v>432</v>
      </c>
      <c r="D41" s="29" t="s">
        <v>342</v>
      </c>
      <c r="E41" s="29" t="s">
        <v>343</v>
      </c>
      <c r="F41" s="30"/>
      <c r="G41" s="29" t="s">
        <v>433</v>
      </c>
      <c r="H41" s="29" t="s">
        <v>634</v>
      </c>
      <c r="I41" s="29" t="s">
        <v>435</v>
      </c>
      <c r="J41" s="30"/>
      <c r="K41" s="29" t="s">
        <v>635</v>
      </c>
      <c r="L41" s="29" t="s">
        <v>636</v>
      </c>
      <c r="M41" s="29" t="s">
        <v>637</v>
      </c>
      <c r="N41" s="29"/>
      <c r="O41" s="29"/>
      <c r="P41" s="29" t="s">
        <v>638</v>
      </c>
    </row>
    <row r="42">
      <c r="A42" s="28">
        <v>1425.0</v>
      </c>
      <c r="B42" s="29" t="s">
        <v>639</v>
      </c>
      <c r="C42" s="29" t="s">
        <v>432</v>
      </c>
      <c r="D42" s="29" t="s">
        <v>342</v>
      </c>
      <c r="E42" s="29" t="s">
        <v>343</v>
      </c>
      <c r="F42" s="30"/>
      <c r="G42" s="29" t="s">
        <v>441</v>
      </c>
      <c r="H42" s="29" t="s">
        <v>434</v>
      </c>
      <c r="I42" s="29" t="s">
        <v>435</v>
      </c>
      <c r="J42" s="30"/>
      <c r="K42" s="29" t="s">
        <v>537</v>
      </c>
      <c r="L42" s="29" t="s">
        <v>459</v>
      </c>
      <c r="M42" s="29" t="s">
        <v>640</v>
      </c>
      <c r="N42" s="29"/>
      <c r="O42" s="29"/>
      <c r="P42" s="29" t="s">
        <v>641</v>
      </c>
    </row>
    <row r="43">
      <c r="A43" s="28">
        <v>2031.0</v>
      </c>
      <c r="B43" s="29" t="s">
        <v>642</v>
      </c>
      <c r="C43" s="29" t="s">
        <v>449</v>
      </c>
      <c r="D43" s="29" t="s">
        <v>342</v>
      </c>
      <c r="E43" s="29" t="s">
        <v>343</v>
      </c>
      <c r="F43" s="30"/>
      <c r="G43" s="29" t="s">
        <v>441</v>
      </c>
      <c r="H43" s="29" t="s">
        <v>434</v>
      </c>
      <c r="I43" s="29" t="s">
        <v>41</v>
      </c>
      <c r="J43" s="30"/>
      <c r="K43" s="29" t="s">
        <v>643</v>
      </c>
      <c r="L43" s="29" t="s">
        <v>644</v>
      </c>
      <c r="M43" s="29" t="s">
        <v>645</v>
      </c>
      <c r="N43" s="29"/>
      <c r="O43" s="29"/>
      <c r="P43" s="29" t="s">
        <v>646</v>
      </c>
    </row>
    <row r="44">
      <c r="A44" s="28">
        <v>1428.0</v>
      </c>
      <c r="B44" s="29" t="s">
        <v>647</v>
      </c>
      <c r="C44" s="29" t="s">
        <v>432</v>
      </c>
      <c r="D44" s="29" t="s">
        <v>363</v>
      </c>
      <c r="E44" s="29" t="s">
        <v>364</v>
      </c>
      <c r="F44" s="30"/>
      <c r="G44" s="29" t="s">
        <v>450</v>
      </c>
      <c r="H44" s="29" t="s">
        <v>434</v>
      </c>
      <c r="I44" s="29" t="s">
        <v>648</v>
      </c>
      <c r="J44" s="30"/>
      <c r="K44" s="29" t="s">
        <v>649</v>
      </c>
      <c r="L44" s="29" t="s">
        <v>650</v>
      </c>
      <c r="M44" s="29" t="s">
        <v>651</v>
      </c>
      <c r="N44" s="29"/>
      <c r="O44" s="29"/>
      <c r="P44" s="29" t="s">
        <v>652</v>
      </c>
    </row>
    <row r="45">
      <c r="A45" s="28">
        <v>1430.0</v>
      </c>
      <c r="B45" s="29" t="s">
        <v>371</v>
      </c>
      <c r="C45" s="29" t="s">
        <v>432</v>
      </c>
      <c r="D45" s="29" t="s">
        <v>363</v>
      </c>
      <c r="E45" s="29" t="s">
        <v>364</v>
      </c>
      <c r="F45" s="30"/>
      <c r="G45" s="29" t="s">
        <v>433</v>
      </c>
      <c r="H45" s="29" t="s">
        <v>434</v>
      </c>
      <c r="I45" s="29" t="s">
        <v>443</v>
      </c>
      <c r="J45" s="30"/>
      <c r="K45" s="29" t="s">
        <v>653</v>
      </c>
      <c r="L45" s="29" t="s">
        <v>654</v>
      </c>
      <c r="M45" s="29" t="s">
        <v>655</v>
      </c>
      <c r="N45" s="29"/>
      <c r="O45" s="29"/>
      <c r="P45" s="29" t="s">
        <v>656</v>
      </c>
    </row>
    <row r="46">
      <c r="A46" s="28">
        <v>1431.0</v>
      </c>
      <c r="B46" s="29" t="s">
        <v>657</v>
      </c>
      <c r="C46" s="29" t="s">
        <v>449</v>
      </c>
      <c r="D46" s="29" t="s">
        <v>363</v>
      </c>
      <c r="E46" s="29" t="s">
        <v>364</v>
      </c>
      <c r="F46" s="30"/>
      <c r="G46" s="29" t="s">
        <v>441</v>
      </c>
      <c r="H46" s="29" t="s">
        <v>658</v>
      </c>
      <c r="I46" s="29" t="s">
        <v>41</v>
      </c>
      <c r="J46" s="30"/>
      <c r="K46" s="29" t="s">
        <v>659</v>
      </c>
      <c r="L46" s="29" t="s">
        <v>660</v>
      </c>
      <c r="M46" s="29" t="s">
        <v>661</v>
      </c>
      <c r="N46" s="29"/>
      <c r="O46" s="29"/>
      <c r="P46" s="29" t="s">
        <v>662</v>
      </c>
    </row>
    <row r="47">
      <c r="A47" s="28">
        <v>8737.0</v>
      </c>
      <c r="B47" s="29" t="s">
        <v>663</v>
      </c>
      <c r="C47" s="29" t="s">
        <v>432</v>
      </c>
      <c r="D47" s="29" t="s">
        <v>363</v>
      </c>
      <c r="E47" s="29" t="s">
        <v>364</v>
      </c>
      <c r="F47" s="30"/>
      <c r="G47" s="29" t="s">
        <v>664</v>
      </c>
      <c r="H47" s="30"/>
      <c r="I47" s="29" t="s">
        <v>234</v>
      </c>
      <c r="J47" s="30"/>
      <c r="K47" s="29" t="s">
        <v>665</v>
      </c>
      <c r="L47" s="29" t="s">
        <v>666</v>
      </c>
      <c r="M47" s="29" t="s">
        <v>667</v>
      </c>
      <c r="N47" s="29"/>
      <c r="O47" s="29"/>
      <c r="P47" s="29" t="s">
        <v>668</v>
      </c>
    </row>
    <row r="48">
      <c r="A48" s="28">
        <v>10149.0</v>
      </c>
      <c r="B48" s="29" t="s">
        <v>669</v>
      </c>
      <c r="C48" s="29" t="s">
        <v>449</v>
      </c>
      <c r="D48" s="29" t="s">
        <v>363</v>
      </c>
      <c r="E48" s="29" t="s">
        <v>364</v>
      </c>
      <c r="F48" s="30"/>
      <c r="G48" s="29" t="s">
        <v>670</v>
      </c>
      <c r="H48" s="29" t="s">
        <v>671</v>
      </c>
      <c r="I48" s="29" t="s">
        <v>45</v>
      </c>
      <c r="J48" s="29" t="s">
        <v>672</v>
      </c>
      <c r="K48" s="29" t="s">
        <v>673</v>
      </c>
      <c r="L48" s="29" t="s">
        <v>674</v>
      </c>
      <c r="M48" s="29" t="s">
        <v>675</v>
      </c>
      <c r="N48" s="29"/>
      <c r="O48" s="29"/>
      <c r="P48" s="29" t="s">
        <v>676</v>
      </c>
    </row>
    <row r="49">
      <c r="A49" s="28">
        <v>4322.0</v>
      </c>
      <c r="B49" s="29" t="s">
        <v>677</v>
      </c>
      <c r="C49" s="29" t="s">
        <v>432</v>
      </c>
      <c r="D49" s="29" t="s">
        <v>399</v>
      </c>
      <c r="E49" s="29" t="s">
        <v>400</v>
      </c>
      <c r="F49" s="29" t="s">
        <v>678</v>
      </c>
      <c r="G49" s="29" t="s">
        <v>679</v>
      </c>
      <c r="H49" s="29" t="s">
        <v>519</v>
      </c>
      <c r="I49" s="29" t="s">
        <v>234</v>
      </c>
      <c r="J49" s="29" t="s">
        <v>680</v>
      </c>
      <c r="K49" s="29" t="s">
        <v>681</v>
      </c>
      <c r="L49" s="29" t="s">
        <v>682</v>
      </c>
      <c r="M49" s="29" t="s">
        <v>683</v>
      </c>
      <c r="N49" s="29"/>
      <c r="O49" s="29"/>
      <c r="P49" s="29" t="s">
        <v>684</v>
      </c>
    </row>
    <row r="50">
      <c r="A50" s="28">
        <v>8869.0</v>
      </c>
      <c r="B50" s="29" t="s">
        <v>685</v>
      </c>
      <c r="C50" s="29" t="s">
        <v>432</v>
      </c>
      <c r="D50" s="29" t="s">
        <v>399</v>
      </c>
      <c r="E50" s="29" t="s">
        <v>400</v>
      </c>
      <c r="F50" s="30"/>
      <c r="G50" s="29" t="s">
        <v>450</v>
      </c>
      <c r="H50" s="30"/>
      <c r="I50" s="29" t="s">
        <v>686</v>
      </c>
      <c r="J50" s="30"/>
      <c r="K50" s="29" t="s">
        <v>450</v>
      </c>
      <c r="L50" s="29" t="s">
        <v>687</v>
      </c>
      <c r="M50" s="29" t="s">
        <v>688</v>
      </c>
      <c r="N50" s="29"/>
      <c r="O50" s="29"/>
      <c r="P50" s="29" t="s">
        <v>689</v>
      </c>
    </row>
    <row r="51">
      <c r="A51" s="28">
        <v>8471.0</v>
      </c>
      <c r="B51" s="29" t="s">
        <v>690</v>
      </c>
      <c r="C51" s="29" t="s">
        <v>432</v>
      </c>
      <c r="D51" s="29" t="s">
        <v>414</v>
      </c>
      <c r="E51" s="29" t="s">
        <v>415</v>
      </c>
      <c r="F51" s="29" t="s">
        <v>691</v>
      </c>
      <c r="G51" s="29" t="s">
        <v>664</v>
      </c>
      <c r="H51" s="29" t="s">
        <v>692</v>
      </c>
      <c r="I51" s="29" t="s">
        <v>144</v>
      </c>
      <c r="J51" s="30"/>
      <c r="K51" s="29" t="s">
        <v>693</v>
      </c>
      <c r="L51" s="29" t="s">
        <v>489</v>
      </c>
      <c r="M51" s="29" t="s">
        <v>694</v>
      </c>
      <c r="N51" s="29"/>
      <c r="O51" s="29"/>
      <c r="P51" s="29" t="s">
        <v>695</v>
      </c>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hidden="1" min="3" max="3" width="12.63"/>
    <col hidden="1" min="6" max="8" width="12.63"/>
    <col hidden="1" min="10" max="12" width="12.63"/>
    <col customWidth="1" hidden="1" min="13" max="13" width="54.63"/>
    <col customWidth="1" min="14" max="14" width="13.88"/>
    <col customWidth="1" min="15" max="15" width="16.88"/>
    <col customWidth="1" min="16" max="16" width="180.0"/>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26" t="s">
        <v>8</v>
      </c>
      <c r="P1" s="26" t="s">
        <v>9</v>
      </c>
      <c r="Q1" s="27"/>
      <c r="R1" s="27"/>
      <c r="S1" s="27"/>
      <c r="T1" s="27"/>
      <c r="U1" s="27"/>
      <c r="V1" s="27"/>
      <c r="W1" s="27"/>
      <c r="X1" s="27"/>
      <c r="Y1" s="27"/>
      <c r="Z1" s="27"/>
      <c r="AA1" s="27"/>
      <c r="AB1" s="27"/>
    </row>
    <row r="2">
      <c r="A2" s="28">
        <v>8927.0</v>
      </c>
      <c r="B2" s="29" t="s">
        <v>5880</v>
      </c>
      <c r="C2" s="29" t="s">
        <v>449</v>
      </c>
      <c r="D2" s="29" t="s">
        <v>2905</v>
      </c>
      <c r="E2" s="29" t="s">
        <v>2906</v>
      </c>
      <c r="F2" s="30"/>
      <c r="G2" s="29" t="s">
        <v>441</v>
      </c>
      <c r="H2" s="29" t="s">
        <v>2480</v>
      </c>
      <c r="I2" s="29" t="s">
        <v>41</v>
      </c>
      <c r="J2" s="30"/>
      <c r="K2" s="29" t="s">
        <v>5881</v>
      </c>
      <c r="L2" s="29" t="s">
        <v>459</v>
      </c>
      <c r="M2" s="29" t="s">
        <v>5882</v>
      </c>
      <c r="N2" s="29">
        <v>2006.0</v>
      </c>
      <c r="O2" s="29" t="s">
        <v>24</v>
      </c>
      <c r="P2" s="29" t="s">
        <v>5511</v>
      </c>
    </row>
    <row r="3">
      <c r="A3" s="28"/>
      <c r="B3" s="1" t="s">
        <v>5514</v>
      </c>
      <c r="C3" s="29"/>
      <c r="D3" s="29" t="s">
        <v>2905</v>
      </c>
      <c r="E3" s="29" t="s">
        <v>2906</v>
      </c>
      <c r="F3" s="30"/>
      <c r="G3" s="29"/>
      <c r="H3" s="29"/>
      <c r="I3" s="29" t="s">
        <v>45</v>
      </c>
      <c r="J3" s="30"/>
      <c r="K3" s="29"/>
      <c r="L3" s="29"/>
      <c r="M3" s="29"/>
      <c r="N3" s="29">
        <v>2011.0</v>
      </c>
      <c r="O3" s="29" t="s">
        <v>24</v>
      </c>
      <c r="P3" s="284" t="s">
        <v>5515</v>
      </c>
      <c r="Q3" s="1" t="s">
        <v>5883</v>
      </c>
    </row>
    <row r="4">
      <c r="A4" s="28">
        <v>8945.0</v>
      </c>
      <c r="B4" s="29" t="s">
        <v>5884</v>
      </c>
      <c r="C4" s="29" t="s">
        <v>449</v>
      </c>
      <c r="D4" s="29" t="s">
        <v>2905</v>
      </c>
      <c r="E4" s="29" t="s">
        <v>2906</v>
      </c>
      <c r="F4" s="30"/>
      <c r="G4" s="29" t="s">
        <v>450</v>
      </c>
      <c r="H4" s="29" t="s">
        <v>5885</v>
      </c>
      <c r="I4" s="29" t="s">
        <v>45</v>
      </c>
      <c r="J4" s="30"/>
      <c r="K4" s="29" t="s">
        <v>610</v>
      </c>
      <c r="L4" s="30"/>
      <c r="M4" s="29" t="s">
        <v>5886</v>
      </c>
      <c r="N4" s="29">
        <v>2006.0</v>
      </c>
      <c r="O4" s="29" t="s">
        <v>24</v>
      </c>
      <c r="P4" s="284" t="s">
        <v>5887</v>
      </c>
    </row>
    <row r="5">
      <c r="A5" s="285"/>
      <c r="B5" s="286" t="s">
        <v>5520</v>
      </c>
      <c r="C5" s="287"/>
      <c r="D5" s="287" t="s">
        <v>2905</v>
      </c>
      <c r="E5" s="287" t="s">
        <v>2906</v>
      </c>
      <c r="F5" s="288"/>
      <c r="G5" s="287"/>
      <c r="H5" s="287"/>
      <c r="I5" s="287"/>
      <c r="J5" s="288"/>
      <c r="K5" s="287"/>
      <c r="L5" s="288"/>
      <c r="M5" s="287"/>
      <c r="N5" s="287">
        <v>2014.0</v>
      </c>
      <c r="O5" s="287" t="s">
        <v>347</v>
      </c>
      <c r="P5" s="289" t="s">
        <v>5521</v>
      </c>
      <c r="Q5" s="142" t="s">
        <v>5888</v>
      </c>
      <c r="R5" s="143"/>
      <c r="S5" s="143"/>
      <c r="T5" s="143"/>
      <c r="U5" s="143"/>
      <c r="V5" s="143"/>
      <c r="W5" s="143"/>
      <c r="X5" s="143"/>
      <c r="Y5" s="143"/>
      <c r="Z5" s="143"/>
      <c r="AA5" s="143"/>
      <c r="AB5" s="143"/>
    </row>
    <row r="6">
      <c r="A6" s="285">
        <v>10032.0</v>
      </c>
      <c r="B6" s="287"/>
      <c r="C6" s="287" t="s">
        <v>432</v>
      </c>
      <c r="D6" s="287" t="s">
        <v>2905</v>
      </c>
      <c r="E6" s="287" t="s">
        <v>2906</v>
      </c>
      <c r="F6" s="288"/>
      <c r="G6" s="287" t="s">
        <v>441</v>
      </c>
      <c r="H6" s="287" t="s">
        <v>5889</v>
      </c>
      <c r="I6" s="287"/>
      <c r="J6" s="288"/>
      <c r="K6" s="287" t="s">
        <v>5890</v>
      </c>
      <c r="L6" s="287" t="s">
        <v>5891</v>
      </c>
      <c r="M6" s="287" t="s">
        <v>5892</v>
      </c>
      <c r="N6" s="287">
        <v>2020.0</v>
      </c>
      <c r="O6" s="287"/>
      <c r="P6" s="289" t="s">
        <v>5524</v>
      </c>
      <c r="Q6" s="142" t="s">
        <v>5893</v>
      </c>
      <c r="R6" s="143"/>
      <c r="S6" s="143"/>
      <c r="T6" s="143"/>
      <c r="U6" s="143"/>
      <c r="V6" s="143"/>
      <c r="W6" s="143"/>
      <c r="X6" s="143"/>
      <c r="Y6" s="143"/>
      <c r="Z6" s="143"/>
      <c r="AA6" s="143"/>
      <c r="AB6" s="143"/>
    </row>
    <row r="7">
      <c r="A7" s="28"/>
      <c r="B7" s="29" t="s">
        <v>5894</v>
      </c>
      <c r="C7" s="29"/>
      <c r="D7" s="29" t="s">
        <v>2905</v>
      </c>
      <c r="E7" s="29" t="s">
        <v>2906</v>
      </c>
      <c r="F7" s="30"/>
      <c r="G7" s="29"/>
      <c r="H7" s="29"/>
      <c r="I7" s="29" t="s">
        <v>144</v>
      </c>
      <c r="J7" s="30"/>
      <c r="K7" s="29"/>
      <c r="L7" s="29"/>
      <c r="M7" s="29"/>
      <c r="N7" s="29">
        <v>2020.0</v>
      </c>
      <c r="O7" s="29" t="s">
        <v>24</v>
      </c>
      <c r="P7" s="284" t="s">
        <v>5526</v>
      </c>
    </row>
    <row r="8">
      <c r="A8" s="28">
        <v>10466.0</v>
      </c>
      <c r="B8" s="29" t="s">
        <v>5895</v>
      </c>
      <c r="C8" s="29" t="s">
        <v>432</v>
      </c>
      <c r="D8" s="29" t="s">
        <v>2905</v>
      </c>
      <c r="E8" s="29" t="s">
        <v>2906</v>
      </c>
      <c r="F8" s="30"/>
      <c r="G8" s="29" t="s">
        <v>433</v>
      </c>
      <c r="H8" s="29" t="s">
        <v>3686</v>
      </c>
      <c r="I8" s="29" t="s">
        <v>18</v>
      </c>
      <c r="J8" s="30"/>
      <c r="K8" s="30"/>
      <c r="L8" s="29" t="s">
        <v>1789</v>
      </c>
      <c r="M8" s="29" t="s">
        <v>5896</v>
      </c>
      <c r="N8" s="29">
        <v>2021.0</v>
      </c>
      <c r="O8" s="29" t="s">
        <v>2910</v>
      </c>
      <c r="P8" s="284" t="s">
        <v>5529</v>
      </c>
    </row>
    <row r="9">
      <c r="A9" s="285"/>
      <c r="B9" s="287"/>
      <c r="C9" s="287"/>
      <c r="D9" s="287"/>
      <c r="E9" s="287"/>
      <c r="F9" s="288"/>
      <c r="G9" s="287"/>
      <c r="H9" s="287"/>
      <c r="I9" s="287"/>
      <c r="J9" s="288"/>
      <c r="K9" s="288"/>
      <c r="L9" s="287"/>
      <c r="M9" s="287"/>
      <c r="N9" s="287"/>
      <c r="O9" s="287"/>
      <c r="P9" s="289" t="s">
        <v>5531</v>
      </c>
      <c r="Q9" s="142" t="s">
        <v>5893</v>
      </c>
      <c r="R9" s="143"/>
      <c r="S9" s="143"/>
      <c r="T9" s="143"/>
      <c r="U9" s="143"/>
      <c r="V9" s="143"/>
      <c r="W9" s="143"/>
      <c r="X9" s="143"/>
      <c r="Y9" s="143"/>
      <c r="Z9" s="143"/>
      <c r="AA9" s="143"/>
      <c r="AB9" s="143"/>
    </row>
    <row r="10">
      <c r="A10" s="28">
        <v>10467.0</v>
      </c>
      <c r="B10" s="29" t="s">
        <v>5897</v>
      </c>
      <c r="C10" s="29" t="s">
        <v>432</v>
      </c>
      <c r="D10" s="29" t="s">
        <v>2905</v>
      </c>
      <c r="E10" s="29" t="s">
        <v>2906</v>
      </c>
      <c r="F10" s="30"/>
      <c r="G10" s="29" t="s">
        <v>441</v>
      </c>
      <c r="H10" s="29" t="s">
        <v>434</v>
      </c>
      <c r="I10" s="29" t="s">
        <v>3022</v>
      </c>
      <c r="J10" s="30"/>
      <c r="K10" s="29" t="s">
        <v>5898</v>
      </c>
      <c r="L10" s="29" t="s">
        <v>511</v>
      </c>
      <c r="M10" s="29" t="s">
        <v>5899</v>
      </c>
      <c r="N10" s="29">
        <v>2021.0</v>
      </c>
      <c r="O10" s="29" t="s">
        <v>2910</v>
      </c>
      <c r="P10" s="290" t="s">
        <v>5534</v>
      </c>
    </row>
    <row r="11">
      <c r="A11" s="291"/>
      <c r="B11" s="292" t="s">
        <v>5536</v>
      </c>
      <c r="C11" s="292"/>
      <c r="D11" s="292" t="s">
        <v>2905</v>
      </c>
      <c r="E11" s="292" t="s">
        <v>2906</v>
      </c>
      <c r="F11" s="293"/>
      <c r="G11" s="292"/>
      <c r="H11" s="292"/>
      <c r="I11" s="292"/>
      <c r="J11" s="293"/>
      <c r="K11" s="292"/>
      <c r="L11" s="292"/>
      <c r="M11" s="292"/>
      <c r="N11" s="292">
        <v>2021.0</v>
      </c>
      <c r="O11" s="292" t="s">
        <v>2910</v>
      </c>
      <c r="P11" s="294" t="s">
        <v>5537</v>
      </c>
      <c r="Q11" s="295" t="s">
        <v>5900</v>
      </c>
      <c r="R11" s="296"/>
      <c r="S11" s="296"/>
      <c r="T11" s="296"/>
      <c r="U11" s="296"/>
      <c r="V11" s="296"/>
      <c r="W11" s="296"/>
      <c r="X11" s="296"/>
      <c r="Y11" s="296"/>
      <c r="Z11" s="296"/>
      <c r="AA11" s="296"/>
      <c r="AB11" s="296"/>
    </row>
    <row r="12">
      <c r="A12" s="285">
        <v>1669.0</v>
      </c>
      <c r="B12" s="287"/>
      <c r="C12" s="287" t="s">
        <v>449</v>
      </c>
      <c r="D12" s="287" t="s">
        <v>5287</v>
      </c>
      <c r="E12" s="287" t="s">
        <v>5288</v>
      </c>
      <c r="F12" s="288"/>
      <c r="G12" s="287" t="s">
        <v>441</v>
      </c>
      <c r="H12" s="287" t="s">
        <v>1309</v>
      </c>
      <c r="I12" s="287" t="s">
        <v>41</v>
      </c>
      <c r="J12" s="288"/>
      <c r="K12" s="287" t="s">
        <v>5901</v>
      </c>
      <c r="L12" s="287" t="s">
        <v>3138</v>
      </c>
      <c r="M12" s="287" t="s">
        <v>5902</v>
      </c>
      <c r="N12" s="287"/>
      <c r="O12" s="287"/>
      <c r="P12" s="297" t="s">
        <v>5540</v>
      </c>
      <c r="Q12" s="142" t="s">
        <v>5893</v>
      </c>
      <c r="R12" s="143"/>
      <c r="S12" s="143"/>
      <c r="T12" s="143"/>
      <c r="U12" s="143"/>
      <c r="V12" s="143"/>
      <c r="W12" s="143"/>
      <c r="X12" s="143"/>
      <c r="Y12" s="143"/>
      <c r="Z12" s="143"/>
      <c r="AA12" s="143"/>
      <c r="AB12" s="143"/>
    </row>
    <row r="13">
      <c r="A13" s="28"/>
      <c r="B13" s="1" t="s">
        <v>5903</v>
      </c>
      <c r="C13" s="29"/>
      <c r="D13" s="29" t="s">
        <v>5287</v>
      </c>
      <c r="E13" s="29" t="s">
        <v>5288</v>
      </c>
      <c r="F13" s="30"/>
      <c r="G13" s="29"/>
      <c r="H13" s="29"/>
      <c r="I13" s="29" t="s">
        <v>836</v>
      </c>
      <c r="J13" s="30"/>
      <c r="K13" s="29"/>
      <c r="L13" s="29"/>
      <c r="M13" s="29"/>
      <c r="N13" s="29">
        <v>2015.0</v>
      </c>
      <c r="O13" s="29"/>
      <c r="P13" s="290" t="s">
        <v>5544</v>
      </c>
    </row>
    <row r="14">
      <c r="A14" s="28">
        <v>1674.0</v>
      </c>
      <c r="B14" s="29" t="s">
        <v>5904</v>
      </c>
      <c r="C14" s="29" t="s">
        <v>432</v>
      </c>
      <c r="D14" s="29" t="s">
        <v>5287</v>
      </c>
      <c r="E14" s="29" t="s">
        <v>5288</v>
      </c>
      <c r="F14" s="29" t="s">
        <v>441</v>
      </c>
      <c r="G14" s="29" t="s">
        <v>433</v>
      </c>
      <c r="H14" s="29" t="s">
        <v>5905</v>
      </c>
      <c r="I14" s="29" t="s">
        <v>144</v>
      </c>
      <c r="J14" s="30"/>
      <c r="K14" s="29" t="s">
        <v>5906</v>
      </c>
      <c r="L14" s="29" t="s">
        <v>489</v>
      </c>
      <c r="M14" s="29" t="s">
        <v>5907</v>
      </c>
      <c r="N14" s="29"/>
      <c r="O14" s="29"/>
      <c r="P14" s="29" t="s">
        <v>5908</v>
      </c>
    </row>
    <row r="15">
      <c r="A15" s="28">
        <v>8573.0</v>
      </c>
      <c r="B15" s="29" t="s">
        <v>5909</v>
      </c>
      <c r="C15" s="29" t="s">
        <v>432</v>
      </c>
      <c r="D15" s="29" t="s">
        <v>5287</v>
      </c>
      <c r="E15" s="29" t="s">
        <v>5288</v>
      </c>
      <c r="F15" s="30"/>
      <c r="G15" s="29" t="s">
        <v>441</v>
      </c>
      <c r="H15" s="29" t="s">
        <v>434</v>
      </c>
      <c r="I15" s="29" t="s">
        <v>435</v>
      </c>
      <c r="J15" s="30"/>
      <c r="K15" s="29" t="s">
        <v>547</v>
      </c>
      <c r="L15" s="30"/>
      <c r="M15" s="29" t="s">
        <v>5910</v>
      </c>
      <c r="N15" s="29"/>
      <c r="O15" s="29"/>
      <c r="P15" s="29" t="s">
        <v>5911</v>
      </c>
    </row>
    <row r="16">
      <c r="A16" s="28">
        <v>8574.0</v>
      </c>
      <c r="B16" s="29" t="s">
        <v>5912</v>
      </c>
      <c r="C16" s="29" t="s">
        <v>449</v>
      </c>
      <c r="D16" s="29" t="s">
        <v>5287</v>
      </c>
      <c r="E16" s="29" t="s">
        <v>5288</v>
      </c>
      <c r="F16" s="30"/>
      <c r="G16" s="29" t="s">
        <v>433</v>
      </c>
      <c r="H16" s="29" t="s">
        <v>1105</v>
      </c>
      <c r="I16" s="29" t="s">
        <v>41</v>
      </c>
      <c r="J16" s="30"/>
      <c r="K16" s="29" t="s">
        <v>4158</v>
      </c>
      <c r="L16" s="29" t="s">
        <v>1747</v>
      </c>
      <c r="M16" s="29" t="s">
        <v>5913</v>
      </c>
      <c r="N16" s="29"/>
      <c r="O16" s="29"/>
      <c r="P16" s="29" t="s">
        <v>5914</v>
      </c>
    </row>
    <row r="17">
      <c r="A17" s="28">
        <v>8980.0</v>
      </c>
      <c r="B17" s="29" t="s">
        <v>5915</v>
      </c>
      <c r="C17" s="29" t="s">
        <v>432</v>
      </c>
      <c r="D17" s="29" t="s">
        <v>5287</v>
      </c>
      <c r="E17" s="29" t="s">
        <v>5288</v>
      </c>
      <c r="F17" s="30"/>
      <c r="G17" s="29" t="s">
        <v>433</v>
      </c>
      <c r="H17" s="29" t="s">
        <v>434</v>
      </c>
      <c r="I17" s="29" t="s">
        <v>850</v>
      </c>
      <c r="J17" s="30"/>
      <c r="K17" s="29" t="s">
        <v>4262</v>
      </c>
      <c r="L17" s="29" t="s">
        <v>4101</v>
      </c>
      <c r="M17" s="29" t="s">
        <v>5916</v>
      </c>
      <c r="N17" s="29"/>
      <c r="O17" s="29"/>
      <c r="P17" s="29" t="s">
        <v>5917</v>
      </c>
    </row>
    <row r="18">
      <c r="A18" s="28">
        <v>8994.0</v>
      </c>
      <c r="B18" s="29" t="s">
        <v>5918</v>
      </c>
      <c r="C18" s="29" t="s">
        <v>432</v>
      </c>
      <c r="D18" s="29" t="s">
        <v>5287</v>
      </c>
      <c r="E18" s="29" t="s">
        <v>5288</v>
      </c>
      <c r="F18" s="30"/>
      <c r="G18" s="29" t="s">
        <v>450</v>
      </c>
      <c r="H18" s="29" t="s">
        <v>469</v>
      </c>
      <c r="I18" s="29" t="s">
        <v>5919</v>
      </c>
      <c r="J18" s="30"/>
      <c r="K18" s="29" t="s">
        <v>1841</v>
      </c>
      <c r="L18" s="29" t="s">
        <v>5920</v>
      </c>
      <c r="M18" s="29" t="s">
        <v>5921</v>
      </c>
      <c r="N18" s="29"/>
      <c r="O18" s="29"/>
      <c r="P18" s="29" t="s">
        <v>5922</v>
      </c>
    </row>
    <row r="19">
      <c r="A19" s="28">
        <v>9517.0</v>
      </c>
      <c r="B19" s="29" t="s">
        <v>5923</v>
      </c>
      <c r="C19" s="29" t="s">
        <v>432</v>
      </c>
      <c r="D19" s="29" t="s">
        <v>5287</v>
      </c>
      <c r="E19" s="29" t="s">
        <v>5288</v>
      </c>
      <c r="F19" s="30"/>
      <c r="G19" s="29" t="s">
        <v>433</v>
      </c>
      <c r="H19" s="29" t="s">
        <v>2968</v>
      </c>
      <c r="I19" s="29" t="s">
        <v>234</v>
      </c>
      <c r="J19" s="29" t="s">
        <v>5924</v>
      </c>
      <c r="K19" s="29" t="s">
        <v>5925</v>
      </c>
      <c r="L19" s="29" t="s">
        <v>5926</v>
      </c>
      <c r="M19" s="29" t="s">
        <v>5927</v>
      </c>
      <c r="N19" s="29"/>
      <c r="O19" s="29"/>
      <c r="P19" s="29" t="s">
        <v>5928</v>
      </c>
    </row>
    <row r="20">
      <c r="A20" s="28">
        <v>9734.0</v>
      </c>
      <c r="B20" s="29" t="s">
        <v>5929</v>
      </c>
      <c r="C20" s="29" t="s">
        <v>432</v>
      </c>
      <c r="D20" s="29" t="s">
        <v>5287</v>
      </c>
      <c r="E20" s="29" t="s">
        <v>5288</v>
      </c>
      <c r="F20" s="30"/>
      <c r="G20" s="29" t="s">
        <v>441</v>
      </c>
      <c r="H20" s="29" t="s">
        <v>474</v>
      </c>
      <c r="I20" s="29" t="s">
        <v>18</v>
      </c>
      <c r="J20" s="30"/>
      <c r="K20" s="29" t="s">
        <v>5930</v>
      </c>
      <c r="L20" s="29" t="s">
        <v>489</v>
      </c>
      <c r="M20" s="29" t="s">
        <v>5931</v>
      </c>
      <c r="N20" s="29"/>
      <c r="O20" s="29"/>
      <c r="P20" s="29" t="s">
        <v>5932</v>
      </c>
    </row>
    <row r="21">
      <c r="A21" s="28">
        <v>9735.0</v>
      </c>
      <c r="B21" s="29" t="s">
        <v>5933</v>
      </c>
      <c r="C21" s="29" t="s">
        <v>432</v>
      </c>
      <c r="D21" s="29" t="s">
        <v>5287</v>
      </c>
      <c r="E21" s="29" t="s">
        <v>5288</v>
      </c>
      <c r="F21" s="30"/>
      <c r="G21" s="29" t="s">
        <v>441</v>
      </c>
      <c r="H21" s="29" t="s">
        <v>434</v>
      </c>
      <c r="I21" s="29" t="s">
        <v>648</v>
      </c>
      <c r="J21" s="30"/>
      <c r="K21" s="29" t="s">
        <v>1305</v>
      </c>
      <c r="L21" s="29" t="s">
        <v>4120</v>
      </c>
      <c r="M21" s="29" t="s">
        <v>5934</v>
      </c>
      <c r="N21" s="29"/>
      <c r="O21" s="29"/>
      <c r="P21" s="29" t="s">
        <v>5935</v>
      </c>
    </row>
    <row r="22">
      <c r="A22" s="28">
        <v>9756.0</v>
      </c>
      <c r="B22" s="29" t="s">
        <v>5936</v>
      </c>
      <c r="C22" s="29" t="s">
        <v>432</v>
      </c>
      <c r="D22" s="29" t="s">
        <v>5287</v>
      </c>
      <c r="E22" s="29" t="s">
        <v>5288</v>
      </c>
      <c r="F22" s="30"/>
      <c r="G22" s="29" t="s">
        <v>433</v>
      </c>
      <c r="H22" s="29" t="s">
        <v>434</v>
      </c>
      <c r="I22" s="29" t="s">
        <v>144</v>
      </c>
      <c r="J22" s="30"/>
      <c r="K22" s="29" t="s">
        <v>5937</v>
      </c>
      <c r="L22" s="29" t="s">
        <v>511</v>
      </c>
      <c r="M22" s="29" t="s">
        <v>5938</v>
      </c>
      <c r="N22" s="29"/>
      <c r="O22" s="29"/>
      <c r="P22" s="29" t="s">
        <v>5939</v>
      </c>
    </row>
    <row r="23">
      <c r="A23" s="28">
        <v>10039.0</v>
      </c>
      <c r="B23" s="29" t="s">
        <v>5940</v>
      </c>
      <c r="C23" s="29" t="s">
        <v>432</v>
      </c>
      <c r="D23" s="29" t="s">
        <v>5287</v>
      </c>
      <c r="E23" s="29" t="s">
        <v>5288</v>
      </c>
      <c r="F23" s="30"/>
      <c r="G23" s="29" t="s">
        <v>433</v>
      </c>
      <c r="H23" s="29" t="s">
        <v>434</v>
      </c>
      <c r="I23" s="29" t="s">
        <v>144</v>
      </c>
      <c r="J23" s="30"/>
      <c r="K23" s="29" t="s">
        <v>620</v>
      </c>
      <c r="L23" s="29" t="s">
        <v>511</v>
      </c>
      <c r="M23" s="29" t="s">
        <v>5941</v>
      </c>
      <c r="N23" s="29"/>
      <c r="O23" s="29"/>
      <c r="P23" s="29" t="s">
        <v>5942</v>
      </c>
    </row>
    <row r="24">
      <c r="A24" s="28">
        <v>10144.0</v>
      </c>
      <c r="B24" s="29" t="s">
        <v>5943</v>
      </c>
      <c r="C24" s="29" t="s">
        <v>432</v>
      </c>
      <c r="D24" s="29" t="s">
        <v>5287</v>
      </c>
      <c r="E24" s="29" t="s">
        <v>5288</v>
      </c>
      <c r="F24" s="30"/>
      <c r="G24" s="29" t="s">
        <v>441</v>
      </c>
      <c r="H24" s="29" t="s">
        <v>434</v>
      </c>
      <c r="I24" s="29" t="s">
        <v>144</v>
      </c>
      <c r="J24" s="30"/>
      <c r="K24" s="29" t="s">
        <v>5944</v>
      </c>
      <c r="L24" s="29" t="s">
        <v>1781</v>
      </c>
      <c r="M24" s="29" t="s">
        <v>5945</v>
      </c>
      <c r="N24" s="29"/>
      <c r="O24" s="29"/>
      <c r="P24" s="29" t="s">
        <v>5946</v>
      </c>
    </row>
    <row r="25">
      <c r="A25" s="28">
        <v>10512.0</v>
      </c>
      <c r="B25" s="29" t="s">
        <v>5633</v>
      </c>
      <c r="C25" s="29" t="s">
        <v>432</v>
      </c>
      <c r="D25" s="29" t="s">
        <v>5287</v>
      </c>
      <c r="E25" s="29" t="s">
        <v>5288</v>
      </c>
      <c r="F25" s="30"/>
      <c r="G25" s="29" t="s">
        <v>441</v>
      </c>
      <c r="H25" s="29" t="s">
        <v>1784</v>
      </c>
      <c r="I25" s="29" t="s">
        <v>234</v>
      </c>
      <c r="J25" s="30"/>
      <c r="K25" s="29" t="s">
        <v>3079</v>
      </c>
      <c r="L25" s="29" t="s">
        <v>5947</v>
      </c>
      <c r="M25" s="29" t="s">
        <v>5948</v>
      </c>
      <c r="N25" s="29"/>
      <c r="O25" s="29"/>
      <c r="P25" s="29" t="s">
        <v>5949</v>
      </c>
    </row>
    <row r="26">
      <c r="A26" s="28">
        <v>4815.0</v>
      </c>
      <c r="B26" s="29" t="s">
        <v>5950</v>
      </c>
      <c r="C26" s="29" t="s">
        <v>432</v>
      </c>
      <c r="D26" s="29" t="s">
        <v>5638</v>
      </c>
      <c r="E26" s="29" t="s">
        <v>5639</v>
      </c>
      <c r="F26" s="30"/>
      <c r="G26" s="29" t="s">
        <v>441</v>
      </c>
      <c r="H26" s="29" t="s">
        <v>434</v>
      </c>
      <c r="I26" s="29" t="s">
        <v>407</v>
      </c>
      <c r="J26" s="30"/>
      <c r="K26" s="29" t="s">
        <v>5951</v>
      </c>
      <c r="L26" s="29" t="s">
        <v>489</v>
      </c>
      <c r="M26" s="29" t="s">
        <v>5952</v>
      </c>
      <c r="N26" s="29"/>
      <c r="O26" s="29"/>
      <c r="P26" s="29" t="s">
        <v>5953</v>
      </c>
    </row>
    <row r="27">
      <c r="A27" s="28">
        <v>9653.0</v>
      </c>
      <c r="B27" s="29" t="s">
        <v>5954</v>
      </c>
      <c r="C27" s="29" t="s">
        <v>449</v>
      </c>
      <c r="D27" s="29" t="s">
        <v>5638</v>
      </c>
      <c r="E27" s="29" t="s">
        <v>5639</v>
      </c>
      <c r="F27" s="30"/>
      <c r="G27" s="29" t="s">
        <v>450</v>
      </c>
      <c r="H27" s="29" t="s">
        <v>5955</v>
      </c>
      <c r="I27" s="29" t="s">
        <v>45</v>
      </c>
      <c r="J27" s="30"/>
      <c r="K27" s="29" t="s">
        <v>5956</v>
      </c>
      <c r="L27" s="29" t="s">
        <v>3120</v>
      </c>
      <c r="M27" s="29" t="s">
        <v>5957</v>
      </c>
      <c r="N27" s="29"/>
      <c r="O27" s="29"/>
      <c r="P27" s="29" t="s">
        <v>5958</v>
      </c>
    </row>
    <row r="28">
      <c r="A28" s="28">
        <v>8523.0</v>
      </c>
      <c r="B28" s="29" t="s">
        <v>5959</v>
      </c>
      <c r="C28" s="29" t="s">
        <v>449</v>
      </c>
      <c r="D28" s="29" t="s">
        <v>5651</v>
      </c>
      <c r="E28" s="29" t="s">
        <v>5652</v>
      </c>
      <c r="F28" s="30"/>
      <c r="G28" s="29" t="s">
        <v>441</v>
      </c>
      <c r="H28" s="29" t="s">
        <v>5960</v>
      </c>
      <c r="I28" s="29" t="s">
        <v>41</v>
      </c>
      <c r="J28" s="30"/>
      <c r="K28" s="29" t="s">
        <v>4849</v>
      </c>
      <c r="L28" s="29" t="s">
        <v>489</v>
      </c>
      <c r="M28" s="29" t="s">
        <v>5961</v>
      </c>
      <c r="N28" s="29"/>
      <c r="O28" s="29"/>
      <c r="P28" s="29" t="s">
        <v>5962</v>
      </c>
    </row>
    <row r="29">
      <c r="A29" s="28">
        <v>1680.0</v>
      </c>
      <c r="B29" s="29" t="s">
        <v>5963</v>
      </c>
      <c r="C29" s="29" t="s">
        <v>449</v>
      </c>
      <c r="D29" s="29" t="s">
        <v>5660</v>
      </c>
      <c r="E29" s="29" t="s">
        <v>5661</v>
      </c>
      <c r="F29" s="30"/>
      <c r="G29" s="29" t="s">
        <v>441</v>
      </c>
      <c r="H29" s="29" t="s">
        <v>469</v>
      </c>
      <c r="I29" s="29" t="s">
        <v>41</v>
      </c>
      <c r="J29" s="30"/>
      <c r="K29" s="29" t="s">
        <v>527</v>
      </c>
      <c r="L29" s="29" t="s">
        <v>489</v>
      </c>
      <c r="M29" s="29" t="s">
        <v>5964</v>
      </c>
      <c r="N29" s="29"/>
      <c r="O29" s="29"/>
      <c r="P29" s="29" t="s">
        <v>5965</v>
      </c>
    </row>
    <row r="30">
      <c r="A30" s="28">
        <v>1683.0</v>
      </c>
      <c r="B30" s="29" t="s">
        <v>5966</v>
      </c>
      <c r="C30" s="29" t="s">
        <v>449</v>
      </c>
      <c r="D30" s="29" t="s">
        <v>5660</v>
      </c>
      <c r="E30" s="29" t="s">
        <v>5661</v>
      </c>
      <c r="F30" s="30"/>
      <c r="G30" s="29" t="s">
        <v>450</v>
      </c>
      <c r="H30" s="29" t="s">
        <v>5967</v>
      </c>
      <c r="I30" s="29" t="s">
        <v>41</v>
      </c>
      <c r="J30" s="30"/>
      <c r="K30" s="29" t="s">
        <v>5968</v>
      </c>
      <c r="L30" s="29" t="s">
        <v>5969</v>
      </c>
      <c r="M30" s="29" t="s">
        <v>5970</v>
      </c>
      <c r="N30" s="29"/>
      <c r="O30" s="29"/>
      <c r="P30" s="29" t="s">
        <v>5971</v>
      </c>
    </row>
    <row r="31">
      <c r="A31" s="28">
        <v>8273.0</v>
      </c>
      <c r="B31" s="29" t="s">
        <v>3180</v>
      </c>
      <c r="C31" s="29" t="s">
        <v>449</v>
      </c>
      <c r="D31" s="29" t="s">
        <v>5660</v>
      </c>
      <c r="E31" s="29" t="s">
        <v>5661</v>
      </c>
      <c r="F31" s="29" t="s">
        <v>433</v>
      </c>
      <c r="G31" s="29" t="s">
        <v>450</v>
      </c>
      <c r="H31" s="29" t="s">
        <v>434</v>
      </c>
      <c r="I31" s="29" t="s">
        <v>41</v>
      </c>
      <c r="J31" s="30"/>
      <c r="K31" s="29" t="s">
        <v>2527</v>
      </c>
      <c r="L31" s="29" t="s">
        <v>476</v>
      </c>
      <c r="M31" s="29" t="s">
        <v>5972</v>
      </c>
      <c r="N31" s="29"/>
      <c r="O31" s="29"/>
      <c r="P31" s="29" t="s">
        <v>5973</v>
      </c>
    </row>
    <row r="32">
      <c r="A32" s="28">
        <v>8752.0</v>
      </c>
      <c r="B32" s="29" t="s">
        <v>5683</v>
      </c>
      <c r="C32" s="29" t="s">
        <v>432</v>
      </c>
      <c r="D32" s="29" t="s">
        <v>5660</v>
      </c>
      <c r="E32" s="29" t="s">
        <v>5661</v>
      </c>
      <c r="F32" s="29" t="s">
        <v>441</v>
      </c>
      <c r="G32" s="29" t="s">
        <v>441</v>
      </c>
      <c r="H32" s="29" t="s">
        <v>1122</v>
      </c>
      <c r="I32" s="29" t="s">
        <v>259</v>
      </c>
      <c r="J32" s="30"/>
      <c r="K32" s="29" t="s">
        <v>547</v>
      </c>
      <c r="L32" s="29" t="s">
        <v>476</v>
      </c>
      <c r="M32" s="29" t="s">
        <v>5974</v>
      </c>
      <c r="N32" s="29"/>
      <c r="O32" s="29"/>
      <c r="P32" s="29" t="s">
        <v>5975</v>
      </c>
    </row>
    <row r="33">
      <c r="A33" s="28">
        <v>8763.0</v>
      </c>
      <c r="B33" s="29" t="s">
        <v>5976</v>
      </c>
      <c r="C33" s="29" t="s">
        <v>449</v>
      </c>
      <c r="D33" s="29" t="s">
        <v>5660</v>
      </c>
      <c r="E33" s="29" t="s">
        <v>5661</v>
      </c>
      <c r="F33" s="30"/>
      <c r="G33" s="29" t="s">
        <v>433</v>
      </c>
      <c r="H33" s="29" t="s">
        <v>5977</v>
      </c>
      <c r="I33" s="29" t="s">
        <v>41</v>
      </c>
      <c r="J33" s="29" t="s">
        <v>5978</v>
      </c>
      <c r="K33" s="29" t="s">
        <v>450</v>
      </c>
      <c r="L33" s="29" t="s">
        <v>5979</v>
      </c>
      <c r="M33" s="29" t="s">
        <v>5980</v>
      </c>
      <c r="N33" s="29"/>
      <c r="O33" s="29"/>
      <c r="P33" s="29" t="s">
        <v>5981</v>
      </c>
    </row>
    <row r="34">
      <c r="A34" s="28">
        <v>9518.0</v>
      </c>
      <c r="B34" s="29" t="s">
        <v>5695</v>
      </c>
      <c r="C34" s="29" t="s">
        <v>432</v>
      </c>
      <c r="D34" s="29" t="s">
        <v>5660</v>
      </c>
      <c r="E34" s="29" t="s">
        <v>5661</v>
      </c>
      <c r="F34" s="30"/>
      <c r="G34" s="29" t="s">
        <v>433</v>
      </c>
      <c r="H34" s="29" t="s">
        <v>2426</v>
      </c>
      <c r="I34" s="29" t="s">
        <v>234</v>
      </c>
      <c r="J34" s="29" t="s">
        <v>5982</v>
      </c>
      <c r="K34" s="29" t="s">
        <v>5983</v>
      </c>
      <c r="L34" s="29" t="s">
        <v>1829</v>
      </c>
      <c r="M34" s="29" t="s">
        <v>5984</v>
      </c>
      <c r="N34" s="29"/>
      <c r="O34" s="29"/>
      <c r="P34" s="29" t="s">
        <v>5985</v>
      </c>
    </row>
    <row r="35">
      <c r="A35" s="28">
        <v>10125.0</v>
      </c>
      <c r="B35" s="29" t="s">
        <v>5986</v>
      </c>
      <c r="C35" s="29" t="s">
        <v>432</v>
      </c>
      <c r="D35" s="29" t="s">
        <v>5660</v>
      </c>
      <c r="E35" s="29" t="s">
        <v>5661</v>
      </c>
      <c r="F35" s="30"/>
      <c r="G35" s="29" t="s">
        <v>441</v>
      </c>
      <c r="H35" s="29" t="s">
        <v>1745</v>
      </c>
      <c r="I35" s="29" t="s">
        <v>435</v>
      </c>
      <c r="J35" s="30"/>
      <c r="K35" s="30"/>
      <c r="L35" s="29" t="s">
        <v>2386</v>
      </c>
      <c r="M35" s="29" t="s">
        <v>5987</v>
      </c>
      <c r="N35" s="29"/>
      <c r="O35" s="29"/>
      <c r="P35" s="29" t="s">
        <v>5988</v>
      </c>
    </row>
    <row r="36">
      <c r="A36" s="28">
        <v>1687.0</v>
      </c>
      <c r="B36" s="29" t="s">
        <v>5989</v>
      </c>
      <c r="C36" s="29" t="s">
        <v>449</v>
      </c>
      <c r="D36" s="29" t="s">
        <v>5709</v>
      </c>
      <c r="E36" s="29" t="s">
        <v>5710</v>
      </c>
      <c r="F36" s="29" t="s">
        <v>441</v>
      </c>
      <c r="G36" s="29" t="s">
        <v>433</v>
      </c>
      <c r="H36" s="29" t="s">
        <v>1135</v>
      </c>
      <c r="I36" s="29" t="s">
        <v>41</v>
      </c>
      <c r="J36" s="30"/>
      <c r="K36" s="29" t="s">
        <v>693</v>
      </c>
      <c r="L36" s="29" t="s">
        <v>2984</v>
      </c>
      <c r="M36" s="29" t="s">
        <v>5990</v>
      </c>
      <c r="N36" s="29"/>
      <c r="O36" s="29"/>
      <c r="P36" s="29" t="s">
        <v>5991</v>
      </c>
    </row>
    <row r="37">
      <c r="A37" s="28">
        <v>1689.0</v>
      </c>
      <c r="B37" s="29" t="s">
        <v>5992</v>
      </c>
      <c r="C37" s="29" t="s">
        <v>432</v>
      </c>
      <c r="D37" s="29" t="s">
        <v>5709</v>
      </c>
      <c r="E37" s="29" t="s">
        <v>5710</v>
      </c>
      <c r="F37" s="29" t="s">
        <v>450</v>
      </c>
      <c r="G37" s="29" t="s">
        <v>450</v>
      </c>
      <c r="H37" s="29" t="s">
        <v>5977</v>
      </c>
      <c r="I37" s="29" t="s">
        <v>648</v>
      </c>
      <c r="J37" s="29" t="s">
        <v>5993</v>
      </c>
      <c r="K37" s="29" t="s">
        <v>649</v>
      </c>
      <c r="L37" s="29" t="s">
        <v>5994</v>
      </c>
      <c r="M37" s="29" t="s">
        <v>5995</v>
      </c>
      <c r="N37" s="29"/>
      <c r="O37" s="29"/>
      <c r="P37" s="29" t="s">
        <v>5996</v>
      </c>
    </row>
    <row r="38">
      <c r="A38" s="28">
        <v>1690.0</v>
      </c>
      <c r="B38" s="29" t="s">
        <v>5997</v>
      </c>
      <c r="C38" s="29" t="s">
        <v>432</v>
      </c>
      <c r="D38" s="29" t="s">
        <v>5709</v>
      </c>
      <c r="E38" s="29" t="s">
        <v>5710</v>
      </c>
      <c r="F38" s="30"/>
      <c r="G38" s="29" t="s">
        <v>441</v>
      </c>
      <c r="H38" s="29" t="s">
        <v>5998</v>
      </c>
      <c r="I38" s="29" t="s">
        <v>443</v>
      </c>
      <c r="J38" s="30"/>
      <c r="K38" s="29" t="s">
        <v>475</v>
      </c>
      <c r="L38" s="29" t="s">
        <v>5999</v>
      </c>
      <c r="M38" s="29" t="s">
        <v>6000</v>
      </c>
      <c r="N38" s="29"/>
      <c r="O38" s="29"/>
      <c r="P38" s="29" t="s">
        <v>6001</v>
      </c>
    </row>
    <row r="39">
      <c r="A39" s="28">
        <v>1691.0</v>
      </c>
      <c r="B39" s="29" t="s">
        <v>6002</v>
      </c>
      <c r="C39" s="29" t="s">
        <v>449</v>
      </c>
      <c r="D39" s="29" t="s">
        <v>5709</v>
      </c>
      <c r="E39" s="29" t="s">
        <v>5710</v>
      </c>
      <c r="F39" s="30"/>
      <c r="G39" s="29" t="s">
        <v>441</v>
      </c>
      <c r="H39" s="29" t="s">
        <v>474</v>
      </c>
      <c r="I39" s="29" t="s">
        <v>41</v>
      </c>
      <c r="J39" s="30"/>
      <c r="K39" s="29" t="s">
        <v>6003</v>
      </c>
      <c r="L39" s="29" t="s">
        <v>3057</v>
      </c>
      <c r="M39" s="29" t="s">
        <v>6004</v>
      </c>
      <c r="N39" s="29"/>
      <c r="O39" s="29"/>
      <c r="P39" s="29" t="s">
        <v>6005</v>
      </c>
    </row>
    <row r="40">
      <c r="A40" s="28">
        <v>1692.0</v>
      </c>
      <c r="B40" s="29" t="s">
        <v>6006</v>
      </c>
      <c r="C40" s="29" t="s">
        <v>449</v>
      </c>
      <c r="D40" s="29" t="s">
        <v>5709</v>
      </c>
      <c r="E40" s="29" t="s">
        <v>5710</v>
      </c>
      <c r="F40" s="30"/>
      <c r="G40" s="29" t="s">
        <v>441</v>
      </c>
      <c r="H40" s="29" t="s">
        <v>469</v>
      </c>
      <c r="I40" s="29" t="s">
        <v>41</v>
      </c>
      <c r="J40" s="30"/>
      <c r="K40" s="29" t="s">
        <v>476</v>
      </c>
      <c r="L40" s="29" t="s">
        <v>476</v>
      </c>
      <c r="M40" s="29" t="s">
        <v>6007</v>
      </c>
      <c r="N40" s="29"/>
      <c r="O40" s="29"/>
      <c r="P40" s="29" t="s">
        <v>6008</v>
      </c>
    </row>
    <row r="41">
      <c r="A41" s="28">
        <v>1693.0</v>
      </c>
      <c r="B41" s="29" t="s">
        <v>6009</v>
      </c>
      <c r="C41" s="29" t="s">
        <v>449</v>
      </c>
      <c r="D41" s="29" t="s">
        <v>5709</v>
      </c>
      <c r="E41" s="29" t="s">
        <v>5710</v>
      </c>
      <c r="F41" s="30"/>
      <c r="G41" s="29" t="s">
        <v>441</v>
      </c>
      <c r="H41" s="29" t="s">
        <v>592</v>
      </c>
      <c r="I41" s="29" t="s">
        <v>41</v>
      </c>
      <c r="J41" s="30"/>
      <c r="K41" s="29" t="s">
        <v>1731</v>
      </c>
      <c r="L41" s="29" t="s">
        <v>2984</v>
      </c>
      <c r="M41" s="29" t="s">
        <v>6010</v>
      </c>
      <c r="N41" s="29"/>
      <c r="O41" s="29"/>
      <c r="P41" s="29" t="s">
        <v>6011</v>
      </c>
    </row>
    <row r="42">
      <c r="A42" s="28">
        <v>1694.0</v>
      </c>
      <c r="B42" s="29" t="s">
        <v>6012</v>
      </c>
      <c r="C42" s="29" t="s">
        <v>449</v>
      </c>
      <c r="D42" s="29" t="s">
        <v>5709</v>
      </c>
      <c r="E42" s="29" t="s">
        <v>5710</v>
      </c>
      <c r="F42" s="30"/>
      <c r="G42" s="29" t="s">
        <v>610</v>
      </c>
      <c r="H42" s="29" t="s">
        <v>469</v>
      </c>
      <c r="I42" s="29" t="s">
        <v>41</v>
      </c>
      <c r="J42" s="30"/>
      <c r="K42" s="29" t="s">
        <v>1145</v>
      </c>
      <c r="L42" s="29" t="s">
        <v>6013</v>
      </c>
      <c r="M42" s="29" t="s">
        <v>6014</v>
      </c>
      <c r="N42" s="29"/>
      <c r="O42" s="29"/>
      <c r="P42" s="29" t="s">
        <v>6015</v>
      </c>
    </row>
    <row r="43">
      <c r="A43" s="28">
        <v>10049.0</v>
      </c>
      <c r="B43" s="29" t="s">
        <v>5766</v>
      </c>
      <c r="C43" s="29" t="s">
        <v>432</v>
      </c>
      <c r="D43" s="29" t="s">
        <v>5709</v>
      </c>
      <c r="E43" s="29" t="s">
        <v>5710</v>
      </c>
      <c r="F43" s="30"/>
      <c r="G43" s="29" t="s">
        <v>441</v>
      </c>
      <c r="H43" s="29" t="s">
        <v>434</v>
      </c>
      <c r="I43" s="29" t="s">
        <v>144</v>
      </c>
      <c r="J43" s="30"/>
      <c r="K43" s="30"/>
      <c r="L43" s="29" t="s">
        <v>489</v>
      </c>
      <c r="M43" s="29" t="s">
        <v>3131</v>
      </c>
      <c r="N43" s="29"/>
      <c r="O43" s="29"/>
      <c r="P43" s="29" t="s">
        <v>6016</v>
      </c>
    </row>
    <row r="44">
      <c r="A44" s="28">
        <v>1695.0</v>
      </c>
      <c r="B44" s="29" t="s">
        <v>6017</v>
      </c>
      <c r="C44" s="29" t="s">
        <v>449</v>
      </c>
      <c r="D44" s="29" t="s">
        <v>5775</v>
      </c>
      <c r="E44" s="29" t="s">
        <v>5776</v>
      </c>
      <c r="F44" s="30"/>
      <c r="G44" s="29" t="s">
        <v>441</v>
      </c>
      <c r="H44" s="29" t="s">
        <v>469</v>
      </c>
      <c r="I44" s="29" t="s">
        <v>41</v>
      </c>
      <c r="J44" s="30"/>
      <c r="K44" s="29" t="s">
        <v>1731</v>
      </c>
      <c r="L44" s="29" t="s">
        <v>6018</v>
      </c>
      <c r="M44" s="29" t="s">
        <v>6019</v>
      </c>
      <c r="N44" s="29"/>
      <c r="O44" s="29"/>
      <c r="P44" s="29" t="s">
        <v>6020</v>
      </c>
    </row>
    <row r="45">
      <c r="A45" s="28">
        <v>1704.0</v>
      </c>
      <c r="B45" s="29" t="s">
        <v>6021</v>
      </c>
      <c r="C45" s="29" t="s">
        <v>432</v>
      </c>
      <c r="D45" s="29" t="s">
        <v>5783</v>
      </c>
      <c r="E45" s="29" t="s">
        <v>5784</v>
      </c>
      <c r="F45" s="29" t="s">
        <v>433</v>
      </c>
      <c r="G45" s="29" t="s">
        <v>433</v>
      </c>
      <c r="H45" s="29" t="s">
        <v>6022</v>
      </c>
      <c r="I45" s="29" t="s">
        <v>144</v>
      </c>
      <c r="J45" s="29" t="s">
        <v>6023</v>
      </c>
      <c r="K45" s="29" t="s">
        <v>6024</v>
      </c>
      <c r="L45" s="29" t="s">
        <v>6025</v>
      </c>
      <c r="M45" s="29" t="s">
        <v>6026</v>
      </c>
      <c r="N45" s="29"/>
      <c r="O45" s="29"/>
      <c r="P45" s="29" t="s">
        <v>6027</v>
      </c>
    </row>
    <row r="46">
      <c r="A46" s="28">
        <v>1710.0</v>
      </c>
      <c r="B46" s="29" t="s">
        <v>6028</v>
      </c>
      <c r="C46" s="29" t="s">
        <v>432</v>
      </c>
      <c r="D46" s="29" t="s">
        <v>5791</v>
      </c>
      <c r="E46" s="29" t="s">
        <v>5792</v>
      </c>
      <c r="F46" s="30"/>
      <c r="G46" s="29" t="s">
        <v>441</v>
      </c>
      <c r="H46" s="29" t="s">
        <v>519</v>
      </c>
      <c r="I46" s="29" t="s">
        <v>435</v>
      </c>
      <c r="J46" s="30"/>
      <c r="K46" s="29" t="s">
        <v>547</v>
      </c>
      <c r="L46" s="29" t="s">
        <v>3106</v>
      </c>
      <c r="M46" s="29" t="s">
        <v>6029</v>
      </c>
      <c r="N46" s="29"/>
      <c r="O46" s="29"/>
      <c r="P46" s="29" t="s">
        <v>6030</v>
      </c>
    </row>
    <row r="47">
      <c r="A47" s="28">
        <v>1712.0</v>
      </c>
      <c r="B47" s="29" t="s">
        <v>6031</v>
      </c>
      <c r="C47" s="29" t="s">
        <v>449</v>
      </c>
      <c r="D47" s="29" t="s">
        <v>5791</v>
      </c>
      <c r="E47" s="29" t="s">
        <v>5792</v>
      </c>
      <c r="F47" s="30"/>
      <c r="G47" s="29" t="s">
        <v>441</v>
      </c>
      <c r="H47" s="29" t="s">
        <v>6032</v>
      </c>
      <c r="I47" s="29" t="s">
        <v>41</v>
      </c>
      <c r="J47" s="30"/>
      <c r="K47" s="29" t="s">
        <v>542</v>
      </c>
      <c r="L47" s="29" t="s">
        <v>6033</v>
      </c>
      <c r="M47" s="29" t="s">
        <v>6034</v>
      </c>
      <c r="N47" s="29"/>
      <c r="O47" s="29"/>
      <c r="P47" s="29" t="s">
        <v>6035</v>
      </c>
    </row>
    <row r="48">
      <c r="A48" s="28">
        <v>10379.0</v>
      </c>
      <c r="B48" s="29" t="s">
        <v>6036</v>
      </c>
      <c r="C48" s="29" t="s">
        <v>449</v>
      </c>
      <c r="D48" s="29" t="s">
        <v>5806</v>
      </c>
      <c r="E48" s="29" t="s">
        <v>5807</v>
      </c>
      <c r="F48" s="30"/>
      <c r="G48" s="29" t="s">
        <v>2358</v>
      </c>
      <c r="H48" s="29" t="s">
        <v>671</v>
      </c>
      <c r="I48" s="29" t="s">
        <v>45</v>
      </c>
      <c r="J48" s="29" t="s">
        <v>6037</v>
      </c>
      <c r="K48" s="30"/>
      <c r="L48" s="29" t="s">
        <v>6038</v>
      </c>
      <c r="M48" s="29" t="s">
        <v>6039</v>
      </c>
      <c r="N48" s="29"/>
      <c r="O48" s="29"/>
      <c r="P48" s="29" t="s">
        <v>6040</v>
      </c>
    </row>
    <row r="49">
      <c r="A49" s="28">
        <v>10381.0</v>
      </c>
      <c r="B49" s="29" t="s">
        <v>6041</v>
      </c>
      <c r="C49" s="29" t="s">
        <v>432</v>
      </c>
      <c r="D49" s="29" t="s">
        <v>5806</v>
      </c>
      <c r="E49" s="29" t="s">
        <v>5807</v>
      </c>
      <c r="F49" s="30"/>
      <c r="G49" s="29" t="s">
        <v>664</v>
      </c>
      <c r="H49" s="29" t="s">
        <v>434</v>
      </c>
      <c r="I49" s="29" t="s">
        <v>144</v>
      </c>
      <c r="J49" s="30"/>
      <c r="K49" s="29" t="s">
        <v>1875</v>
      </c>
      <c r="L49" s="29" t="s">
        <v>674</v>
      </c>
      <c r="M49" s="29" t="s">
        <v>6042</v>
      </c>
      <c r="N49" s="29"/>
      <c r="O49" s="29"/>
      <c r="P49" s="29" t="s">
        <v>6043</v>
      </c>
    </row>
    <row r="50">
      <c r="A50" s="28">
        <v>1720.0</v>
      </c>
      <c r="B50" s="29" t="s">
        <v>6044</v>
      </c>
      <c r="C50" s="29" t="s">
        <v>432</v>
      </c>
      <c r="D50" s="29" t="s">
        <v>5314</v>
      </c>
      <c r="E50" s="29" t="s">
        <v>5315</v>
      </c>
      <c r="F50" s="29" t="s">
        <v>433</v>
      </c>
      <c r="G50" s="29" t="s">
        <v>433</v>
      </c>
      <c r="H50" s="29" t="s">
        <v>6045</v>
      </c>
      <c r="I50" s="29" t="s">
        <v>234</v>
      </c>
      <c r="J50" s="29" t="s">
        <v>6046</v>
      </c>
      <c r="K50" s="29" t="s">
        <v>6047</v>
      </c>
      <c r="L50" s="29" t="s">
        <v>6048</v>
      </c>
      <c r="M50" s="29" t="s">
        <v>6049</v>
      </c>
      <c r="N50" s="29"/>
      <c r="O50" s="29"/>
      <c r="P50" s="29" t="s">
        <v>6050</v>
      </c>
    </row>
    <row r="51">
      <c r="A51" s="28">
        <v>1722.0</v>
      </c>
      <c r="B51" s="29" t="s">
        <v>6051</v>
      </c>
      <c r="C51" s="29" t="s">
        <v>449</v>
      </c>
      <c r="D51" s="29" t="s">
        <v>5314</v>
      </c>
      <c r="E51" s="29" t="s">
        <v>5315</v>
      </c>
      <c r="F51" s="30"/>
      <c r="G51" s="29" t="s">
        <v>441</v>
      </c>
      <c r="H51" s="29" t="s">
        <v>5998</v>
      </c>
      <c r="I51" s="29" t="s">
        <v>41</v>
      </c>
      <c r="J51" s="30"/>
      <c r="K51" s="29" t="s">
        <v>3146</v>
      </c>
      <c r="L51" s="29" t="s">
        <v>5969</v>
      </c>
      <c r="M51" s="29" t="s">
        <v>6052</v>
      </c>
      <c r="N51" s="29"/>
      <c r="O51" s="29"/>
      <c r="P51" s="29" t="s">
        <v>6053</v>
      </c>
    </row>
    <row r="52">
      <c r="A52" s="28">
        <v>1723.0</v>
      </c>
      <c r="B52" s="29" t="s">
        <v>6054</v>
      </c>
      <c r="C52" s="29" t="s">
        <v>449</v>
      </c>
      <c r="D52" s="29" t="s">
        <v>5314</v>
      </c>
      <c r="E52" s="29" t="s">
        <v>5315</v>
      </c>
      <c r="F52" s="30"/>
      <c r="G52" s="29" t="s">
        <v>441</v>
      </c>
      <c r="H52" s="29" t="s">
        <v>469</v>
      </c>
      <c r="I52" s="29" t="s">
        <v>41</v>
      </c>
      <c r="J52" s="30"/>
      <c r="K52" s="29" t="s">
        <v>521</v>
      </c>
      <c r="L52" s="29" t="s">
        <v>2520</v>
      </c>
      <c r="M52" s="29" t="s">
        <v>6055</v>
      </c>
      <c r="N52" s="29"/>
      <c r="O52" s="29"/>
      <c r="P52" s="29" t="s">
        <v>6056</v>
      </c>
    </row>
    <row r="53">
      <c r="A53" s="28">
        <v>2001.0</v>
      </c>
      <c r="B53" s="29" t="s">
        <v>6057</v>
      </c>
      <c r="C53" s="29" t="s">
        <v>432</v>
      </c>
      <c r="D53" s="29" t="s">
        <v>5314</v>
      </c>
      <c r="E53" s="29" t="s">
        <v>5315</v>
      </c>
      <c r="F53" s="30"/>
      <c r="G53" s="29" t="s">
        <v>433</v>
      </c>
      <c r="H53" s="29" t="s">
        <v>434</v>
      </c>
      <c r="I53" s="29" t="s">
        <v>144</v>
      </c>
      <c r="J53" s="30"/>
      <c r="K53" s="29" t="s">
        <v>3625</v>
      </c>
      <c r="L53" s="29" t="s">
        <v>6058</v>
      </c>
      <c r="M53" s="29" t="s">
        <v>6059</v>
      </c>
      <c r="N53" s="29"/>
      <c r="O53" s="29"/>
      <c r="P53" s="29" t="s">
        <v>6060</v>
      </c>
    </row>
    <row r="54">
      <c r="A54" s="28">
        <v>8605.0</v>
      </c>
      <c r="B54" s="29" t="s">
        <v>6061</v>
      </c>
      <c r="C54" s="29" t="s">
        <v>449</v>
      </c>
      <c r="D54" s="29" t="s">
        <v>5314</v>
      </c>
      <c r="E54" s="29" t="s">
        <v>5315</v>
      </c>
      <c r="F54" s="30"/>
      <c r="G54" s="29" t="s">
        <v>441</v>
      </c>
      <c r="H54" s="29" t="s">
        <v>6062</v>
      </c>
      <c r="I54" s="29" t="s">
        <v>41</v>
      </c>
      <c r="J54" s="30"/>
      <c r="K54" s="29" t="s">
        <v>537</v>
      </c>
      <c r="L54" s="29" t="s">
        <v>489</v>
      </c>
      <c r="M54" s="29" t="s">
        <v>6063</v>
      </c>
      <c r="N54" s="29"/>
      <c r="O54" s="29"/>
      <c r="P54" s="29" t="s">
        <v>6064</v>
      </c>
    </row>
    <row r="55">
      <c r="A55" s="28">
        <v>9450.0</v>
      </c>
      <c r="B55" s="29" t="s">
        <v>6065</v>
      </c>
      <c r="C55" s="29" t="s">
        <v>432</v>
      </c>
      <c r="D55" s="29" t="s">
        <v>5314</v>
      </c>
      <c r="E55" s="29" t="s">
        <v>5315</v>
      </c>
      <c r="F55" s="30"/>
      <c r="G55" s="29" t="s">
        <v>441</v>
      </c>
      <c r="H55" s="29" t="s">
        <v>6066</v>
      </c>
      <c r="I55" s="29" t="s">
        <v>443</v>
      </c>
      <c r="J55" s="30"/>
      <c r="K55" s="29" t="s">
        <v>1305</v>
      </c>
      <c r="L55" s="29" t="s">
        <v>489</v>
      </c>
      <c r="M55" s="29" t="s">
        <v>6067</v>
      </c>
      <c r="N55" s="29"/>
      <c r="O55" s="29"/>
      <c r="P55" s="29" t="s">
        <v>6068</v>
      </c>
    </row>
    <row r="56">
      <c r="A56" s="28">
        <v>10484.0</v>
      </c>
      <c r="B56" s="29" t="s">
        <v>6069</v>
      </c>
      <c r="C56" s="29" t="s">
        <v>432</v>
      </c>
      <c r="D56" s="29" t="s">
        <v>5314</v>
      </c>
      <c r="E56" s="29" t="s">
        <v>5315</v>
      </c>
      <c r="F56" s="30"/>
      <c r="G56" s="29" t="s">
        <v>441</v>
      </c>
      <c r="H56" s="29" t="s">
        <v>469</v>
      </c>
      <c r="I56" s="29" t="s">
        <v>6070</v>
      </c>
      <c r="J56" s="30"/>
      <c r="K56" s="29" t="s">
        <v>1305</v>
      </c>
      <c r="L56" s="29" t="s">
        <v>489</v>
      </c>
      <c r="M56" s="29" t="s">
        <v>6071</v>
      </c>
      <c r="N56" s="29"/>
      <c r="O56" s="29"/>
      <c r="P56" s="29" t="s">
        <v>6072</v>
      </c>
    </row>
    <row r="57">
      <c r="A57" s="28">
        <v>10060.0</v>
      </c>
      <c r="B57" s="29" t="s">
        <v>6073</v>
      </c>
      <c r="C57" s="29" t="s">
        <v>432</v>
      </c>
      <c r="D57" s="29" t="s">
        <v>4953</v>
      </c>
      <c r="E57" s="29" t="s">
        <v>4954</v>
      </c>
      <c r="F57" s="30"/>
      <c r="G57" s="29" t="s">
        <v>6074</v>
      </c>
      <c r="H57" s="29" t="s">
        <v>6075</v>
      </c>
      <c r="I57" s="29" t="s">
        <v>41</v>
      </c>
      <c r="J57" s="30"/>
      <c r="K57" s="30"/>
      <c r="L57" s="29" t="s">
        <v>6076</v>
      </c>
      <c r="M57" s="29" t="s">
        <v>6077</v>
      </c>
      <c r="N57" s="29"/>
      <c r="O57" s="29"/>
      <c r="P57" s="29" t="s">
        <v>6078</v>
      </c>
    </row>
    <row r="58">
      <c r="A58" s="138"/>
      <c r="B58" s="138"/>
      <c r="C58" s="138"/>
      <c r="D58" s="138"/>
      <c r="E58" s="138"/>
      <c r="F58" s="138"/>
      <c r="G58" s="138"/>
      <c r="H58" s="138"/>
      <c r="I58" s="138"/>
      <c r="J58" s="138"/>
      <c r="K58" s="138"/>
      <c r="L58" s="138"/>
      <c r="M58" s="138"/>
      <c r="N58" s="138"/>
      <c r="O58" s="138"/>
      <c r="P58" s="138"/>
    </row>
    <row r="59">
      <c r="A59" s="138"/>
      <c r="B59" s="138"/>
      <c r="C59" s="138"/>
      <c r="D59" s="138"/>
      <c r="E59" s="138"/>
      <c r="F59" s="138"/>
      <c r="G59" s="138"/>
      <c r="H59" s="138"/>
      <c r="I59" s="138"/>
      <c r="J59" s="138"/>
      <c r="K59" s="138"/>
      <c r="L59" s="138"/>
      <c r="M59" s="138"/>
      <c r="N59" s="138"/>
      <c r="O59" s="138"/>
      <c r="P59" s="138"/>
    </row>
    <row r="60">
      <c r="A60" s="138"/>
      <c r="B60" s="138"/>
      <c r="C60" s="138"/>
      <c r="D60" s="138"/>
      <c r="E60" s="138"/>
      <c r="F60" s="138"/>
      <c r="G60" s="138"/>
      <c r="H60" s="138"/>
      <c r="I60" s="138"/>
      <c r="J60" s="138"/>
      <c r="K60" s="138"/>
      <c r="L60" s="138"/>
      <c r="M60" s="138"/>
      <c r="N60" s="138"/>
      <c r="O60" s="138"/>
      <c r="P60" s="138"/>
    </row>
    <row r="61">
      <c r="A61" s="138"/>
      <c r="B61" s="138"/>
      <c r="C61" s="138"/>
      <c r="D61" s="138"/>
      <c r="E61" s="138"/>
      <c r="F61" s="138"/>
      <c r="G61" s="138"/>
      <c r="H61" s="138"/>
      <c r="I61" s="138"/>
      <c r="J61" s="138"/>
      <c r="K61" s="138"/>
      <c r="L61" s="138"/>
      <c r="M61" s="138"/>
      <c r="N61" s="138"/>
      <c r="O61" s="138"/>
      <c r="P61" s="138"/>
    </row>
    <row r="62">
      <c r="A62" s="138"/>
      <c r="B62" s="138"/>
      <c r="C62" s="138"/>
      <c r="D62" s="138"/>
      <c r="E62" s="138"/>
      <c r="F62" s="138"/>
      <c r="G62" s="138"/>
      <c r="H62" s="138"/>
      <c r="I62" s="138"/>
      <c r="J62" s="138"/>
      <c r="K62" s="138"/>
      <c r="L62" s="138"/>
      <c r="M62" s="138"/>
      <c r="N62" s="138"/>
      <c r="O62" s="138"/>
      <c r="P62" s="138"/>
    </row>
    <row r="63">
      <c r="A63" s="138"/>
      <c r="B63" s="138"/>
      <c r="C63" s="138"/>
      <c r="D63" s="138"/>
      <c r="E63" s="138"/>
      <c r="F63" s="138"/>
      <c r="G63" s="138"/>
      <c r="H63" s="138"/>
      <c r="I63" s="138"/>
      <c r="J63" s="138"/>
      <c r="K63" s="138"/>
      <c r="L63" s="138"/>
      <c r="M63" s="138"/>
      <c r="N63" s="138"/>
      <c r="O63" s="138"/>
      <c r="P63" s="138"/>
    </row>
    <row r="64">
      <c r="A64" s="138"/>
      <c r="B64" s="138"/>
      <c r="C64" s="138"/>
      <c r="D64" s="138"/>
      <c r="E64" s="138"/>
      <c r="F64" s="138"/>
      <c r="G64" s="138"/>
      <c r="H64" s="138"/>
      <c r="I64" s="138"/>
      <c r="J64" s="138"/>
      <c r="K64" s="138"/>
      <c r="L64" s="138"/>
      <c r="M64" s="138"/>
      <c r="N64" s="138"/>
      <c r="O64" s="138"/>
      <c r="P64" s="138"/>
    </row>
    <row r="65">
      <c r="A65" s="138"/>
      <c r="B65" s="138"/>
      <c r="C65" s="138"/>
      <c r="D65" s="138"/>
      <c r="E65" s="138"/>
      <c r="F65" s="138"/>
      <c r="G65" s="138"/>
      <c r="H65" s="138"/>
      <c r="I65" s="138"/>
      <c r="J65" s="138"/>
      <c r="K65" s="138"/>
      <c r="L65" s="138"/>
      <c r="M65" s="138"/>
      <c r="N65" s="138"/>
      <c r="O65" s="138"/>
      <c r="P65" s="138"/>
    </row>
    <row r="66">
      <c r="A66" s="138"/>
      <c r="B66" s="138"/>
      <c r="C66" s="138"/>
      <c r="D66" s="138"/>
      <c r="E66" s="138"/>
      <c r="F66" s="138"/>
      <c r="G66" s="138"/>
      <c r="H66" s="138"/>
      <c r="I66" s="138"/>
      <c r="J66" s="138"/>
      <c r="K66" s="138"/>
      <c r="L66" s="138"/>
      <c r="M66" s="138"/>
      <c r="N66" s="138"/>
      <c r="O66" s="138"/>
      <c r="P66" s="138"/>
    </row>
    <row r="67">
      <c r="A67" s="138"/>
      <c r="B67" s="138"/>
      <c r="C67" s="138"/>
      <c r="D67" s="138"/>
      <c r="E67" s="138"/>
      <c r="F67" s="138"/>
      <c r="G67" s="138"/>
      <c r="H67" s="138"/>
      <c r="I67" s="138"/>
      <c r="J67" s="138"/>
      <c r="K67" s="138"/>
      <c r="L67" s="138"/>
      <c r="M67" s="138"/>
      <c r="N67" s="138"/>
      <c r="O67" s="138"/>
      <c r="P67" s="138"/>
    </row>
    <row r="68">
      <c r="A68" s="138"/>
      <c r="B68" s="138"/>
      <c r="C68" s="138"/>
      <c r="D68" s="138"/>
      <c r="E68" s="138"/>
      <c r="F68" s="138"/>
      <c r="G68" s="138"/>
      <c r="H68" s="138"/>
      <c r="I68" s="138"/>
      <c r="J68" s="138"/>
      <c r="K68" s="138"/>
      <c r="L68" s="138"/>
      <c r="M68" s="138"/>
      <c r="N68" s="138"/>
      <c r="O68" s="138"/>
      <c r="P68" s="138"/>
    </row>
    <row r="69">
      <c r="A69" s="138"/>
      <c r="B69" s="138"/>
      <c r="C69" s="138"/>
      <c r="D69" s="138"/>
      <c r="E69" s="138"/>
      <c r="F69" s="138"/>
      <c r="G69" s="138"/>
      <c r="H69" s="138"/>
      <c r="I69" s="138"/>
      <c r="J69" s="138"/>
      <c r="K69" s="138"/>
      <c r="L69" s="138"/>
      <c r="M69" s="138"/>
      <c r="N69" s="138"/>
      <c r="O69" s="138"/>
      <c r="P69" s="138"/>
    </row>
    <row r="70">
      <c r="A70" s="138"/>
      <c r="B70" s="138"/>
      <c r="C70" s="138"/>
      <c r="D70" s="138"/>
      <c r="E70" s="138"/>
      <c r="F70" s="138"/>
      <c r="G70" s="138"/>
      <c r="H70" s="138"/>
      <c r="I70" s="138"/>
      <c r="J70" s="138"/>
      <c r="K70" s="138"/>
      <c r="L70" s="138"/>
      <c r="M70" s="138"/>
      <c r="N70" s="138"/>
      <c r="O70" s="138"/>
      <c r="P70" s="138"/>
    </row>
    <row r="71">
      <c r="A71" s="138"/>
      <c r="B71" s="138"/>
      <c r="C71" s="138"/>
      <c r="D71" s="138"/>
      <c r="E71" s="138"/>
      <c r="F71" s="138"/>
      <c r="G71" s="138"/>
      <c r="H71" s="138"/>
      <c r="I71" s="138"/>
      <c r="J71" s="138"/>
      <c r="K71" s="138"/>
      <c r="L71" s="138"/>
      <c r="M71" s="138"/>
      <c r="N71" s="138"/>
      <c r="O71" s="138"/>
      <c r="P71" s="138"/>
    </row>
    <row r="72">
      <c r="A72" s="138"/>
      <c r="B72" s="138"/>
      <c r="C72" s="138"/>
      <c r="D72" s="138"/>
      <c r="E72" s="138"/>
      <c r="F72" s="138"/>
      <c r="G72" s="138"/>
      <c r="H72" s="138"/>
      <c r="I72" s="138"/>
      <c r="J72" s="138"/>
      <c r="K72" s="138"/>
      <c r="L72" s="138"/>
      <c r="M72" s="138"/>
      <c r="N72" s="138"/>
      <c r="O72" s="138"/>
      <c r="P72" s="138"/>
    </row>
    <row r="73">
      <c r="A73" s="138"/>
      <c r="B73" s="138"/>
      <c r="C73" s="138"/>
      <c r="D73" s="138"/>
      <c r="E73" s="138"/>
      <c r="F73" s="138"/>
      <c r="G73" s="138"/>
      <c r="H73" s="138"/>
      <c r="I73" s="138"/>
      <c r="J73" s="138"/>
      <c r="K73" s="138"/>
      <c r="L73" s="138"/>
      <c r="M73" s="138"/>
      <c r="N73" s="138"/>
      <c r="O73" s="138"/>
      <c r="P73" s="138"/>
    </row>
    <row r="74">
      <c r="A74" s="138"/>
      <c r="B74" s="138"/>
      <c r="C74" s="138"/>
      <c r="D74" s="138"/>
      <c r="E74" s="138"/>
      <c r="F74" s="138"/>
      <c r="G74" s="138"/>
      <c r="H74" s="138"/>
      <c r="I74" s="138"/>
      <c r="J74" s="138"/>
      <c r="K74" s="138"/>
      <c r="L74" s="138"/>
      <c r="M74" s="138"/>
      <c r="N74" s="138"/>
      <c r="O74" s="138"/>
      <c r="P74" s="138"/>
    </row>
    <row r="75">
      <c r="A75" s="138"/>
      <c r="B75" s="138"/>
      <c r="C75" s="138"/>
      <c r="D75" s="138"/>
      <c r="E75" s="138"/>
      <c r="F75" s="138"/>
      <c r="G75" s="138"/>
      <c r="H75" s="138"/>
      <c r="I75" s="138"/>
      <c r="J75" s="138"/>
      <c r="K75" s="138"/>
      <c r="L75" s="138"/>
      <c r="M75" s="138"/>
      <c r="N75" s="138"/>
      <c r="O75" s="138"/>
      <c r="P75" s="138"/>
    </row>
    <row r="76">
      <c r="A76" s="138"/>
      <c r="B76" s="138"/>
      <c r="C76" s="138"/>
      <c r="D76" s="138"/>
      <c r="E76" s="138"/>
      <c r="F76" s="138"/>
      <c r="G76" s="138"/>
      <c r="H76" s="138"/>
      <c r="I76" s="138"/>
      <c r="J76" s="138"/>
      <c r="K76" s="138"/>
      <c r="L76" s="138"/>
      <c r="M76" s="138"/>
      <c r="N76" s="138"/>
      <c r="O76" s="138"/>
      <c r="P76" s="138"/>
    </row>
    <row r="77">
      <c r="A77" s="138"/>
      <c r="B77" s="138"/>
      <c r="C77" s="138"/>
      <c r="D77" s="138"/>
      <c r="E77" s="138"/>
      <c r="F77" s="138"/>
      <c r="G77" s="138"/>
      <c r="H77" s="138"/>
      <c r="I77" s="138"/>
      <c r="J77" s="138"/>
      <c r="K77" s="138"/>
      <c r="L77" s="138"/>
      <c r="M77" s="138"/>
      <c r="N77" s="138"/>
      <c r="O77" s="138"/>
      <c r="P77" s="138"/>
    </row>
    <row r="78">
      <c r="A78" s="138"/>
      <c r="B78" s="138"/>
      <c r="C78" s="138"/>
      <c r="D78" s="138"/>
      <c r="E78" s="138"/>
      <c r="F78" s="138"/>
      <c r="G78" s="138"/>
      <c r="H78" s="138"/>
      <c r="I78" s="138"/>
      <c r="J78" s="138"/>
      <c r="K78" s="138"/>
      <c r="L78" s="138"/>
      <c r="M78" s="138"/>
      <c r="N78" s="138"/>
      <c r="O78" s="138"/>
      <c r="P78" s="138"/>
    </row>
    <row r="79">
      <c r="A79" s="138"/>
      <c r="B79" s="138"/>
      <c r="C79" s="138"/>
      <c r="D79" s="138"/>
      <c r="E79" s="138"/>
      <c r="F79" s="138"/>
      <c r="G79" s="138"/>
      <c r="H79" s="138"/>
      <c r="I79" s="138"/>
      <c r="J79" s="138"/>
      <c r="K79" s="138"/>
      <c r="L79" s="138"/>
      <c r="M79" s="138"/>
      <c r="N79" s="138"/>
      <c r="O79" s="138"/>
      <c r="P79" s="138"/>
    </row>
    <row r="80">
      <c r="A80" s="138"/>
      <c r="B80" s="138"/>
      <c r="C80" s="138"/>
      <c r="D80" s="138"/>
      <c r="E80" s="138"/>
      <c r="F80" s="138"/>
      <c r="G80" s="138"/>
      <c r="H80" s="138"/>
      <c r="I80" s="138"/>
      <c r="J80" s="138"/>
      <c r="K80" s="138"/>
      <c r="L80" s="138"/>
      <c r="M80" s="138"/>
      <c r="N80" s="138"/>
      <c r="O80" s="138"/>
      <c r="P80" s="138"/>
    </row>
    <row r="81">
      <c r="A81" s="138"/>
      <c r="B81" s="138"/>
      <c r="C81" s="138"/>
      <c r="D81" s="138"/>
      <c r="E81" s="138"/>
      <c r="F81" s="138"/>
      <c r="G81" s="138"/>
      <c r="H81" s="138"/>
      <c r="I81" s="138"/>
      <c r="J81" s="138"/>
      <c r="K81" s="138"/>
      <c r="L81" s="138"/>
      <c r="M81" s="138"/>
      <c r="N81" s="138"/>
      <c r="O81" s="138"/>
      <c r="P81" s="138"/>
    </row>
    <row r="82">
      <c r="A82" s="138"/>
      <c r="B82" s="138"/>
      <c r="C82" s="138"/>
      <c r="D82" s="138"/>
      <c r="E82" s="138"/>
      <c r="F82" s="138"/>
      <c r="G82" s="138"/>
      <c r="H82" s="138"/>
      <c r="I82" s="138"/>
      <c r="J82" s="138"/>
      <c r="K82" s="138"/>
      <c r="L82" s="138"/>
      <c r="M82" s="138"/>
      <c r="N82" s="138"/>
      <c r="O82" s="138"/>
      <c r="P82" s="138"/>
    </row>
    <row r="83">
      <c r="A83" s="138"/>
      <c r="B83" s="138"/>
      <c r="C83" s="138"/>
      <c r="D83" s="138"/>
      <c r="E83" s="138"/>
      <c r="F83" s="138"/>
      <c r="G83" s="138"/>
      <c r="H83" s="138"/>
      <c r="I83" s="138"/>
      <c r="J83" s="138"/>
      <c r="K83" s="138"/>
      <c r="L83" s="138"/>
      <c r="M83" s="138"/>
      <c r="N83" s="138"/>
      <c r="O83" s="138"/>
      <c r="P83" s="138"/>
    </row>
    <row r="84">
      <c r="A84" s="138"/>
      <c r="B84" s="138"/>
      <c r="C84" s="138"/>
      <c r="D84" s="138"/>
      <c r="E84" s="138"/>
      <c r="F84" s="138"/>
      <c r="G84" s="138"/>
      <c r="H84" s="138"/>
      <c r="I84" s="138"/>
      <c r="J84" s="138"/>
      <c r="K84" s="138"/>
      <c r="L84" s="138"/>
      <c r="M84" s="138"/>
      <c r="N84" s="138"/>
      <c r="O84" s="138"/>
      <c r="P84" s="138"/>
    </row>
    <row r="85">
      <c r="A85" s="138"/>
      <c r="B85" s="138"/>
      <c r="C85" s="138"/>
      <c r="D85" s="138"/>
      <c r="E85" s="138"/>
      <c r="F85" s="138"/>
      <c r="G85" s="138"/>
      <c r="H85" s="138"/>
      <c r="I85" s="138"/>
      <c r="J85" s="138"/>
      <c r="K85" s="138"/>
      <c r="L85" s="138"/>
      <c r="M85" s="138"/>
      <c r="N85" s="138"/>
      <c r="O85" s="138"/>
      <c r="P85" s="138"/>
    </row>
    <row r="86">
      <c r="A86" s="138"/>
      <c r="B86" s="138"/>
      <c r="C86" s="138"/>
      <c r="D86" s="138"/>
      <c r="E86" s="138"/>
      <c r="F86" s="138"/>
      <c r="G86" s="138"/>
      <c r="H86" s="138"/>
      <c r="I86" s="138"/>
      <c r="J86" s="138"/>
      <c r="K86" s="138"/>
      <c r="L86" s="138"/>
      <c r="M86" s="138"/>
      <c r="N86" s="138"/>
      <c r="O86" s="138"/>
      <c r="P86" s="138"/>
    </row>
    <row r="87">
      <c r="A87" s="138"/>
      <c r="B87" s="138"/>
      <c r="C87" s="138"/>
      <c r="D87" s="138"/>
      <c r="E87" s="138"/>
      <c r="F87" s="138"/>
      <c r="G87" s="138"/>
      <c r="H87" s="138"/>
      <c r="I87" s="138"/>
      <c r="J87" s="138"/>
      <c r="K87" s="138"/>
      <c r="L87" s="138"/>
      <c r="M87" s="138"/>
      <c r="N87" s="138"/>
      <c r="O87" s="138"/>
      <c r="P87" s="138"/>
    </row>
    <row r="88">
      <c r="A88" s="138"/>
      <c r="B88" s="138"/>
      <c r="C88" s="138"/>
      <c r="D88" s="138"/>
      <c r="E88" s="138"/>
      <c r="F88" s="138"/>
      <c r="G88" s="138"/>
      <c r="H88" s="138"/>
      <c r="I88" s="138"/>
      <c r="J88" s="138"/>
      <c r="K88" s="138"/>
      <c r="L88" s="138"/>
      <c r="M88" s="138"/>
      <c r="N88" s="138"/>
      <c r="O88" s="138"/>
      <c r="P88" s="138"/>
    </row>
    <row r="89">
      <c r="A89" s="138"/>
      <c r="B89" s="138"/>
      <c r="C89" s="138"/>
      <c r="D89" s="138"/>
      <c r="E89" s="138"/>
      <c r="F89" s="138"/>
      <c r="G89" s="138"/>
      <c r="H89" s="138"/>
      <c r="I89" s="138"/>
      <c r="J89" s="138"/>
      <c r="K89" s="138"/>
      <c r="L89" s="138"/>
      <c r="M89" s="138"/>
      <c r="N89" s="138"/>
      <c r="O89" s="138"/>
      <c r="P89" s="138"/>
    </row>
    <row r="90">
      <c r="A90" s="138"/>
      <c r="B90" s="138"/>
      <c r="C90" s="138"/>
      <c r="D90" s="138"/>
      <c r="E90" s="138"/>
      <c r="F90" s="138"/>
      <c r="G90" s="138"/>
      <c r="H90" s="138"/>
      <c r="I90" s="138"/>
      <c r="J90" s="138"/>
      <c r="K90" s="138"/>
      <c r="L90" s="138"/>
      <c r="M90" s="138"/>
      <c r="N90" s="138"/>
      <c r="O90" s="138"/>
      <c r="P90" s="138"/>
    </row>
    <row r="91">
      <c r="A91" s="138"/>
      <c r="B91" s="138"/>
      <c r="C91" s="138"/>
      <c r="D91" s="138"/>
      <c r="E91" s="138"/>
      <c r="F91" s="138"/>
      <c r="G91" s="138"/>
      <c r="H91" s="138"/>
      <c r="I91" s="138"/>
      <c r="J91" s="138"/>
      <c r="K91" s="138"/>
      <c r="L91" s="138"/>
      <c r="M91" s="138"/>
      <c r="N91" s="138"/>
      <c r="O91" s="138"/>
      <c r="P91" s="138"/>
    </row>
    <row r="92">
      <c r="A92" s="138"/>
      <c r="B92" s="138"/>
      <c r="C92" s="138"/>
      <c r="D92" s="138"/>
      <c r="E92" s="138"/>
      <c r="F92" s="138"/>
      <c r="G92" s="138"/>
      <c r="H92" s="138"/>
      <c r="I92" s="138"/>
      <c r="J92" s="138"/>
      <c r="K92" s="138"/>
      <c r="L92" s="138"/>
      <c r="M92" s="138"/>
      <c r="N92" s="138"/>
      <c r="O92" s="138"/>
      <c r="P92" s="138"/>
    </row>
    <row r="93">
      <c r="A93" s="138"/>
      <c r="B93" s="138"/>
      <c r="C93" s="138"/>
      <c r="D93" s="138"/>
      <c r="E93" s="138"/>
      <c r="F93" s="138"/>
      <c r="G93" s="138"/>
      <c r="H93" s="138"/>
      <c r="I93" s="138"/>
      <c r="J93" s="138"/>
      <c r="K93" s="138"/>
      <c r="L93" s="138"/>
      <c r="M93" s="138"/>
      <c r="N93" s="138"/>
      <c r="O93" s="138"/>
      <c r="P93" s="138"/>
    </row>
    <row r="94">
      <c r="A94" s="138"/>
      <c r="B94" s="138"/>
      <c r="C94" s="138"/>
      <c r="D94" s="138"/>
      <c r="E94" s="138"/>
      <c r="F94" s="138"/>
      <c r="G94" s="138"/>
      <c r="H94" s="138"/>
      <c r="I94" s="138"/>
      <c r="J94" s="138"/>
      <c r="K94" s="138"/>
      <c r="L94" s="138"/>
      <c r="M94" s="138"/>
      <c r="N94" s="138"/>
      <c r="O94" s="138"/>
      <c r="P94" s="138"/>
    </row>
    <row r="95">
      <c r="A95" s="138"/>
      <c r="B95" s="138"/>
      <c r="C95" s="138"/>
      <c r="D95" s="138"/>
      <c r="E95" s="138"/>
      <c r="F95" s="138"/>
      <c r="G95" s="138"/>
      <c r="H95" s="138"/>
      <c r="I95" s="138"/>
      <c r="J95" s="138"/>
      <c r="K95" s="138"/>
      <c r="L95" s="138"/>
      <c r="M95" s="138"/>
      <c r="N95" s="138"/>
      <c r="O95" s="138"/>
      <c r="P95" s="138"/>
    </row>
    <row r="96">
      <c r="A96" s="138"/>
      <c r="B96" s="138"/>
      <c r="C96" s="138"/>
      <c r="D96" s="138"/>
      <c r="E96" s="138"/>
      <c r="F96" s="138"/>
      <c r="G96" s="138"/>
      <c r="H96" s="138"/>
      <c r="I96" s="138"/>
      <c r="J96" s="138"/>
      <c r="K96" s="138"/>
      <c r="L96" s="138"/>
      <c r="M96" s="138"/>
      <c r="N96" s="138"/>
      <c r="O96" s="138"/>
      <c r="P96" s="138"/>
    </row>
    <row r="97">
      <c r="A97" s="138"/>
      <c r="B97" s="138"/>
      <c r="C97" s="138"/>
      <c r="D97" s="138"/>
      <c r="E97" s="138"/>
      <c r="F97" s="138"/>
      <c r="G97" s="138"/>
      <c r="H97" s="138"/>
      <c r="I97" s="138"/>
      <c r="J97" s="138"/>
      <c r="K97" s="138"/>
      <c r="L97" s="138"/>
      <c r="M97" s="138"/>
      <c r="N97" s="138"/>
      <c r="O97" s="138"/>
      <c r="P97" s="138"/>
    </row>
    <row r="98">
      <c r="A98" s="138"/>
      <c r="B98" s="138"/>
      <c r="C98" s="138"/>
      <c r="D98" s="138"/>
      <c r="E98" s="138"/>
      <c r="F98" s="138"/>
      <c r="G98" s="138"/>
      <c r="H98" s="138"/>
      <c r="I98" s="138"/>
      <c r="J98" s="138"/>
      <c r="K98" s="138"/>
      <c r="L98" s="138"/>
      <c r="M98" s="138"/>
      <c r="N98" s="138"/>
      <c r="O98" s="138"/>
      <c r="P98" s="138"/>
    </row>
    <row r="99">
      <c r="A99" s="138"/>
      <c r="B99" s="138"/>
      <c r="C99" s="138"/>
      <c r="D99" s="138"/>
      <c r="E99" s="138"/>
      <c r="F99" s="138"/>
      <c r="G99" s="138"/>
      <c r="H99" s="138"/>
      <c r="I99" s="138"/>
      <c r="J99" s="138"/>
      <c r="K99" s="138"/>
      <c r="L99" s="138"/>
      <c r="M99" s="138"/>
      <c r="N99" s="138"/>
      <c r="O99" s="138"/>
      <c r="P99" s="138"/>
    </row>
    <row r="100">
      <c r="A100" s="138"/>
      <c r="B100" s="138"/>
      <c r="C100" s="138"/>
      <c r="D100" s="138"/>
      <c r="E100" s="138"/>
      <c r="F100" s="138"/>
      <c r="G100" s="138"/>
      <c r="H100" s="138"/>
      <c r="I100" s="138"/>
      <c r="J100" s="138"/>
      <c r="K100" s="138"/>
      <c r="L100" s="138"/>
      <c r="M100" s="138"/>
      <c r="N100" s="138"/>
      <c r="O100" s="138"/>
      <c r="P100" s="138"/>
    </row>
    <row r="101">
      <c r="A101" s="138"/>
      <c r="B101" s="138"/>
      <c r="C101" s="138"/>
      <c r="D101" s="138"/>
      <c r="E101" s="138"/>
      <c r="F101" s="138"/>
      <c r="G101" s="138"/>
      <c r="H101" s="138"/>
      <c r="I101" s="138"/>
      <c r="J101" s="138"/>
      <c r="K101" s="138"/>
      <c r="L101" s="138"/>
      <c r="M101" s="138"/>
      <c r="N101" s="138"/>
      <c r="O101" s="138"/>
      <c r="P101" s="138"/>
    </row>
    <row r="102">
      <c r="A102" s="138"/>
      <c r="B102" s="138"/>
      <c r="C102" s="138"/>
      <c r="D102" s="138"/>
      <c r="E102" s="138"/>
      <c r="F102" s="138"/>
      <c r="G102" s="138"/>
      <c r="H102" s="138"/>
      <c r="I102" s="138"/>
      <c r="J102" s="138"/>
      <c r="K102" s="138"/>
      <c r="L102" s="138"/>
      <c r="M102" s="138"/>
      <c r="N102" s="138"/>
      <c r="O102" s="138"/>
      <c r="P102" s="138"/>
    </row>
    <row r="103">
      <c r="A103" s="138"/>
      <c r="B103" s="138"/>
      <c r="C103" s="138"/>
      <c r="D103" s="138"/>
      <c r="E103" s="138"/>
      <c r="F103" s="138"/>
      <c r="G103" s="138"/>
      <c r="H103" s="138"/>
      <c r="I103" s="138"/>
      <c r="J103" s="138"/>
      <c r="K103" s="138"/>
      <c r="L103" s="138"/>
      <c r="M103" s="138"/>
      <c r="N103" s="138"/>
      <c r="O103" s="138"/>
      <c r="P103" s="138"/>
    </row>
    <row r="104">
      <c r="A104" s="138"/>
      <c r="B104" s="138"/>
      <c r="C104" s="138"/>
      <c r="D104" s="138"/>
      <c r="E104" s="138"/>
      <c r="F104" s="138"/>
      <c r="G104" s="138"/>
      <c r="H104" s="138"/>
      <c r="I104" s="138"/>
      <c r="J104" s="138"/>
      <c r="K104" s="138"/>
      <c r="L104" s="138"/>
      <c r="M104" s="138"/>
      <c r="N104" s="138"/>
      <c r="O104" s="138"/>
      <c r="P104" s="138"/>
    </row>
    <row r="105">
      <c r="A105" s="138"/>
      <c r="B105" s="138"/>
      <c r="C105" s="138"/>
      <c r="D105" s="138"/>
      <c r="E105" s="138"/>
      <c r="F105" s="138"/>
      <c r="G105" s="138"/>
      <c r="H105" s="138"/>
      <c r="I105" s="138"/>
      <c r="J105" s="138"/>
      <c r="K105" s="138"/>
      <c r="L105" s="138"/>
      <c r="M105" s="138"/>
      <c r="N105" s="138"/>
      <c r="O105" s="138"/>
      <c r="P105" s="138"/>
    </row>
    <row r="106">
      <c r="A106" s="138"/>
      <c r="B106" s="138"/>
      <c r="C106" s="138"/>
      <c r="D106" s="138"/>
      <c r="E106" s="138"/>
      <c r="F106" s="138"/>
      <c r="G106" s="138"/>
      <c r="H106" s="138"/>
      <c r="I106" s="138"/>
      <c r="J106" s="138"/>
      <c r="K106" s="138"/>
      <c r="L106" s="138"/>
      <c r="M106" s="138"/>
      <c r="N106" s="138"/>
      <c r="O106" s="138"/>
      <c r="P106" s="138"/>
    </row>
    <row r="107">
      <c r="A107" s="138"/>
      <c r="B107" s="138"/>
      <c r="C107" s="138"/>
      <c r="D107" s="138"/>
      <c r="E107" s="138"/>
      <c r="F107" s="138"/>
      <c r="G107" s="138"/>
      <c r="H107" s="138"/>
      <c r="I107" s="138"/>
      <c r="J107" s="138"/>
      <c r="K107" s="138"/>
      <c r="L107" s="138"/>
      <c r="M107" s="138"/>
      <c r="N107" s="138"/>
      <c r="O107" s="138"/>
      <c r="P107" s="138"/>
    </row>
    <row r="108">
      <c r="A108" s="138"/>
      <c r="B108" s="138"/>
      <c r="C108" s="138"/>
      <c r="D108" s="138"/>
      <c r="E108" s="138"/>
      <c r="F108" s="138"/>
      <c r="G108" s="138"/>
      <c r="H108" s="138"/>
      <c r="I108" s="138"/>
      <c r="J108" s="138"/>
      <c r="K108" s="138"/>
      <c r="L108" s="138"/>
      <c r="M108" s="138"/>
      <c r="N108" s="138"/>
      <c r="O108" s="138"/>
      <c r="P108" s="138"/>
    </row>
    <row r="109">
      <c r="A109" s="138"/>
      <c r="B109" s="138"/>
      <c r="C109" s="138"/>
      <c r="D109" s="138"/>
      <c r="E109" s="138"/>
      <c r="F109" s="138"/>
      <c r="G109" s="138"/>
      <c r="H109" s="138"/>
      <c r="I109" s="138"/>
      <c r="J109" s="138"/>
      <c r="K109" s="138"/>
      <c r="L109" s="138"/>
      <c r="M109" s="138"/>
      <c r="N109" s="138"/>
      <c r="O109" s="138"/>
      <c r="P109" s="138"/>
    </row>
    <row r="110">
      <c r="A110" s="138"/>
      <c r="B110" s="138"/>
      <c r="C110" s="138"/>
      <c r="D110" s="138"/>
      <c r="E110" s="138"/>
      <c r="F110" s="138"/>
      <c r="G110" s="138"/>
      <c r="H110" s="138"/>
      <c r="I110" s="138"/>
      <c r="J110" s="138"/>
      <c r="K110" s="138"/>
      <c r="L110" s="138"/>
      <c r="M110" s="138"/>
      <c r="N110" s="138"/>
      <c r="O110" s="138"/>
      <c r="P110" s="138"/>
    </row>
    <row r="111">
      <c r="A111" s="138"/>
      <c r="B111" s="138"/>
      <c r="C111" s="138"/>
      <c r="D111" s="138"/>
      <c r="E111" s="138"/>
      <c r="F111" s="138"/>
      <c r="G111" s="138"/>
      <c r="H111" s="138"/>
      <c r="I111" s="138"/>
      <c r="J111" s="138"/>
      <c r="K111" s="138"/>
      <c r="L111" s="138"/>
      <c r="M111" s="138"/>
      <c r="N111" s="138"/>
      <c r="O111" s="138"/>
      <c r="P111" s="138"/>
    </row>
    <row r="112">
      <c r="A112" s="138"/>
      <c r="B112" s="138"/>
      <c r="C112" s="138"/>
      <c r="D112" s="138"/>
      <c r="E112" s="138"/>
      <c r="F112" s="138"/>
      <c r="G112" s="138"/>
      <c r="H112" s="138"/>
      <c r="I112" s="138"/>
      <c r="J112" s="138"/>
      <c r="K112" s="138"/>
      <c r="L112" s="138"/>
      <c r="M112" s="138"/>
      <c r="N112" s="138"/>
      <c r="O112" s="138"/>
      <c r="P112" s="138"/>
    </row>
    <row r="113">
      <c r="A113" s="138"/>
      <c r="B113" s="138"/>
      <c r="C113" s="138"/>
      <c r="D113" s="138"/>
      <c r="E113" s="138"/>
      <c r="F113" s="138"/>
      <c r="G113" s="138"/>
      <c r="H113" s="138"/>
      <c r="I113" s="138"/>
      <c r="J113" s="138"/>
      <c r="K113" s="138"/>
      <c r="L113" s="138"/>
      <c r="M113" s="138"/>
      <c r="N113" s="138"/>
      <c r="O113" s="138"/>
      <c r="P113" s="138"/>
    </row>
    <row r="114">
      <c r="A114" s="138"/>
      <c r="B114" s="138"/>
      <c r="C114" s="138"/>
      <c r="D114" s="138"/>
      <c r="E114" s="138"/>
      <c r="F114" s="138"/>
      <c r="G114" s="138"/>
      <c r="H114" s="138"/>
      <c r="I114" s="138"/>
      <c r="J114" s="138"/>
      <c r="K114" s="138"/>
      <c r="L114" s="138"/>
      <c r="M114" s="138"/>
      <c r="N114" s="138"/>
      <c r="O114" s="138"/>
      <c r="P114" s="138"/>
    </row>
    <row r="115">
      <c r="A115" s="138"/>
      <c r="B115" s="138"/>
      <c r="C115" s="138"/>
      <c r="D115" s="138"/>
      <c r="E115" s="138"/>
      <c r="F115" s="138"/>
      <c r="G115" s="138"/>
      <c r="H115" s="138"/>
      <c r="I115" s="138"/>
      <c r="J115" s="138"/>
      <c r="K115" s="138"/>
      <c r="L115" s="138"/>
      <c r="M115" s="138"/>
      <c r="N115" s="138"/>
      <c r="O115" s="138"/>
      <c r="P115" s="138"/>
    </row>
    <row r="116">
      <c r="A116" s="138"/>
      <c r="B116" s="138"/>
      <c r="C116" s="138"/>
      <c r="D116" s="138"/>
      <c r="E116" s="138"/>
      <c r="F116" s="138"/>
      <c r="G116" s="138"/>
      <c r="H116" s="138"/>
      <c r="I116" s="138"/>
      <c r="J116" s="138"/>
      <c r="K116" s="138"/>
      <c r="L116" s="138"/>
      <c r="M116" s="138"/>
      <c r="N116" s="138"/>
      <c r="O116" s="138"/>
      <c r="P116" s="138"/>
    </row>
    <row r="117">
      <c r="A117" s="138"/>
      <c r="B117" s="138"/>
      <c r="C117" s="138"/>
      <c r="D117" s="138"/>
      <c r="E117" s="138"/>
      <c r="F117" s="138"/>
      <c r="G117" s="138"/>
      <c r="H117" s="138"/>
      <c r="I117" s="138"/>
      <c r="J117" s="138"/>
      <c r="K117" s="138"/>
      <c r="L117" s="138"/>
      <c r="M117" s="138"/>
      <c r="N117" s="138"/>
      <c r="O117" s="138"/>
      <c r="P117" s="138"/>
    </row>
    <row r="118">
      <c r="A118" s="138"/>
      <c r="B118" s="138"/>
      <c r="C118" s="138"/>
      <c r="D118" s="138"/>
      <c r="E118" s="138"/>
      <c r="F118" s="138"/>
      <c r="G118" s="138"/>
      <c r="H118" s="138"/>
      <c r="I118" s="138"/>
      <c r="J118" s="138"/>
      <c r="K118" s="138"/>
      <c r="L118" s="138"/>
      <c r="M118" s="138"/>
      <c r="N118" s="138"/>
      <c r="O118" s="138"/>
      <c r="P118" s="138"/>
    </row>
    <row r="119">
      <c r="A119" s="138"/>
      <c r="B119" s="138"/>
      <c r="C119" s="138"/>
      <c r="D119" s="138"/>
      <c r="E119" s="138"/>
      <c r="F119" s="138"/>
      <c r="G119" s="138"/>
      <c r="H119" s="138"/>
      <c r="I119" s="138"/>
      <c r="J119" s="138"/>
      <c r="K119" s="138"/>
      <c r="L119" s="138"/>
      <c r="M119" s="138"/>
      <c r="N119" s="138"/>
      <c r="O119" s="138"/>
      <c r="P119" s="138"/>
    </row>
    <row r="120">
      <c r="A120" s="138"/>
      <c r="B120" s="138"/>
      <c r="C120" s="138"/>
      <c r="D120" s="138"/>
      <c r="E120" s="138"/>
      <c r="F120" s="138"/>
      <c r="G120" s="138"/>
      <c r="H120" s="138"/>
      <c r="I120" s="138"/>
      <c r="J120" s="138"/>
      <c r="K120" s="138"/>
      <c r="L120" s="138"/>
      <c r="M120" s="138"/>
      <c r="N120" s="138"/>
      <c r="O120" s="138"/>
      <c r="P120" s="138"/>
    </row>
    <row r="121">
      <c r="A121" s="138"/>
      <c r="B121" s="138"/>
      <c r="C121" s="138"/>
      <c r="D121" s="138"/>
      <c r="E121" s="138"/>
      <c r="F121" s="138"/>
      <c r="G121" s="138"/>
      <c r="H121" s="138"/>
      <c r="I121" s="138"/>
      <c r="J121" s="138"/>
      <c r="K121" s="138"/>
      <c r="L121" s="138"/>
      <c r="M121" s="138"/>
      <c r="N121" s="138"/>
      <c r="O121" s="138"/>
      <c r="P121" s="138"/>
    </row>
    <row r="122">
      <c r="A122" s="138"/>
      <c r="B122" s="138"/>
      <c r="C122" s="138"/>
      <c r="D122" s="138"/>
      <c r="E122" s="138"/>
      <c r="F122" s="138"/>
      <c r="G122" s="138"/>
      <c r="H122" s="138"/>
      <c r="I122" s="138"/>
      <c r="J122" s="138"/>
      <c r="K122" s="138"/>
      <c r="L122" s="138"/>
      <c r="M122" s="138"/>
      <c r="N122" s="138"/>
      <c r="O122" s="138"/>
      <c r="P122" s="138"/>
    </row>
    <row r="123">
      <c r="A123" s="138"/>
      <c r="B123" s="138"/>
      <c r="C123" s="138"/>
      <c r="D123" s="138"/>
      <c r="E123" s="138"/>
      <c r="F123" s="138"/>
      <c r="G123" s="138"/>
      <c r="H123" s="138"/>
      <c r="I123" s="138"/>
      <c r="J123" s="138"/>
      <c r="K123" s="138"/>
      <c r="L123" s="138"/>
      <c r="M123" s="138"/>
      <c r="N123" s="138"/>
      <c r="O123" s="138"/>
      <c r="P123" s="138"/>
    </row>
    <row r="124">
      <c r="A124" s="138"/>
      <c r="B124" s="138"/>
      <c r="C124" s="138"/>
      <c r="D124" s="138"/>
      <c r="E124" s="138"/>
      <c r="F124" s="138"/>
      <c r="G124" s="138"/>
      <c r="H124" s="138"/>
      <c r="I124" s="138"/>
      <c r="J124" s="138"/>
      <c r="K124" s="138"/>
      <c r="L124" s="138"/>
      <c r="M124" s="138"/>
      <c r="N124" s="138"/>
      <c r="O124" s="138"/>
      <c r="P124" s="138"/>
    </row>
    <row r="125">
      <c r="A125" s="138"/>
      <c r="B125" s="138"/>
      <c r="C125" s="138"/>
      <c r="D125" s="138"/>
      <c r="E125" s="138"/>
      <c r="F125" s="138"/>
      <c r="G125" s="138"/>
      <c r="H125" s="138"/>
      <c r="I125" s="138"/>
      <c r="J125" s="138"/>
      <c r="K125" s="138"/>
      <c r="L125" s="138"/>
      <c r="M125" s="138"/>
      <c r="N125" s="138"/>
      <c r="O125" s="138"/>
      <c r="P125" s="138"/>
    </row>
    <row r="126">
      <c r="A126" s="138"/>
      <c r="B126" s="138"/>
      <c r="C126" s="138"/>
      <c r="D126" s="138"/>
      <c r="E126" s="138"/>
      <c r="F126" s="138"/>
      <c r="G126" s="138"/>
      <c r="H126" s="138"/>
      <c r="I126" s="138"/>
      <c r="J126" s="138"/>
      <c r="K126" s="138"/>
      <c r="L126" s="138"/>
      <c r="M126" s="138"/>
      <c r="N126" s="138"/>
      <c r="O126" s="138"/>
      <c r="P126" s="138"/>
    </row>
    <row r="127">
      <c r="A127" s="138"/>
      <c r="B127" s="138"/>
      <c r="C127" s="138"/>
      <c r="D127" s="138"/>
      <c r="E127" s="138"/>
      <c r="F127" s="138"/>
      <c r="G127" s="138"/>
      <c r="H127" s="138"/>
      <c r="I127" s="138"/>
      <c r="J127" s="138"/>
      <c r="K127" s="138"/>
      <c r="L127" s="138"/>
      <c r="M127" s="138"/>
      <c r="N127" s="138"/>
      <c r="O127" s="138"/>
      <c r="P127" s="138"/>
    </row>
    <row r="128">
      <c r="A128" s="138"/>
      <c r="B128" s="138"/>
      <c r="C128" s="138"/>
      <c r="D128" s="138"/>
      <c r="E128" s="138"/>
      <c r="F128" s="138"/>
      <c r="G128" s="138"/>
      <c r="H128" s="138"/>
      <c r="I128" s="138"/>
      <c r="J128" s="138"/>
      <c r="K128" s="138"/>
      <c r="L128" s="138"/>
      <c r="M128" s="138"/>
      <c r="N128" s="138"/>
      <c r="O128" s="138"/>
      <c r="P128" s="138"/>
    </row>
    <row r="129">
      <c r="A129" s="138"/>
      <c r="B129" s="138"/>
      <c r="C129" s="138"/>
      <c r="D129" s="138"/>
      <c r="E129" s="138"/>
      <c r="F129" s="138"/>
      <c r="G129" s="138"/>
      <c r="H129" s="138"/>
      <c r="I129" s="138"/>
      <c r="J129" s="138"/>
      <c r="K129" s="138"/>
      <c r="L129" s="138"/>
      <c r="M129" s="138"/>
      <c r="N129" s="138"/>
      <c r="O129" s="138"/>
      <c r="P129" s="138"/>
    </row>
    <row r="130">
      <c r="A130" s="138"/>
      <c r="B130" s="138"/>
      <c r="C130" s="138"/>
      <c r="D130" s="138"/>
      <c r="E130" s="138"/>
      <c r="F130" s="138"/>
      <c r="G130" s="138"/>
      <c r="H130" s="138"/>
      <c r="I130" s="138"/>
      <c r="J130" s="138"/>
      <c r="K130" s="138"/>
      <c r="L130" s="138"/>
      <c r="M130" s="138"/>
      <c r="N130" s="138"/>
      <c r="O130" s="138"/>
      <c r="P130" s="138"/>
    </row>
    <row r="131">
      <c r="A131" s="138"/>
      <c r="B131" s="138"/>
      <c r="C131" s="138"/>
      <c r="D131" s="138"/>
      <c r="E131" s="138"/>
      <c r="F131" s="138"/>
      <c r="G131" s="138"/>
      <c r="H131" s="138"/>
      <c r="I131" s="138"/>
      <c r="J131" s="138"/>
      <c r="K131" s="138"/>
      <c r="L131" s="138"/>
      <c r="M131" s="138"/>
      <c r="N131" s="138"/>
      <c r="O131" s="138"/>
      <c r="P131" s="138"/>
    </row>
    <row r="132">
      <c r="A132" s="138"/>
      <c r="B132" s="138"/>
      <c r="C132" s="138"/>
      <c r="D132" s="138"/>
      <c r="E132" s="138"/>
      <c r="F132" s="138"/>
      <c r="G132" s="138"/>
      <c r="H132" s="138"/>
      <c r="I132" s="138"/>
      <c r="J132" s="138"/>
      <c r="K132" s="138"/>
      <c r="L132" s="138"/>
      <c r="M132" s="138"/>
      <c r="N132" s="138"/>
      <c r="O132" s="138"/>
      <c r="P132" s="138"/>
    </row>
    <row r="133">
      <c r="A133" s="138"/>
      <c r="B133" s="138"/>
      <c r="C133" s="138"/>
      <c r="D133" s="138"/>
      <c r="E133" s="138"/>
      <c r="F133" s="138"/>
      <c r="G133" s="138"/>
      <c r="H133" s="138"/>
      <c r="I133" s="138"/>
      <c r="J133" s="138"/>
      <c r="K133" s="138"/>
      <c r="L133" s="138"/>
      <c r="M133" s="138"/>
      <c r="N133" s="138"/>
      <c r="O133" s="138"/>
      <c r="P133" s="138"/>
    </row>
    <row r="134">
      <c r="A134" s="138"/>
      <c r="B134" s="138"/>
      <c r="C134" s="138"/>
      <c r="D134" s="138"/>
      <c r="E134" s="138"/>
      <c r="F134" s="138"/>
      <c r="G134" s="138"/>
      <c r="H134" s="138"/>
      <c r="I134" s="138"/>
      <c r="J134" s="138"/>
      <c r="K134" s="138"/>
      <c r="L134" s="138"/>
      <c r="M134" s="138"/>
      <c r="N134" s="138"/>
      <c r="O134" s="138"/>
      <c r="P134" s="138"/>
    </row>
    <row r="135">
      <c r="A135" s="138"/>
      <c r="B135" s="138"/>
      <c r="C135" s="138"/>
      <c r="D135" s="138"/>
      <c r="E135" s="138"/>
      <c r="F135" s="138"/>
      <c r="G135" s="138"/>
      <c r="H135" s="138"/>
      <c r="I135" s="138"/>
      <c r="J135" s="138"/>
      <c r="K135" s="138"/>
      <c r="L135" s="138"/>
      <c r="M135" s="138"/>
      <c r="N135" s="138"/>
      <c r="O135" s="138"/>
      <c r="P135" s="138"/>
    </row>
    <row r="136">
      <c r="A136" s="138"/>
      <c r="B136" s="138"/>
      <c r="C136" s="138"/>
      <c r="D136" s="138"/>
      <c r="E136" s="138"/>
      <c r="F136" s="138"/>
      <c r="G136" s="138"/>
      <c r="H136" s="138"/>
      <c r="I136" s="138"/>
      <c r="J136" s="138"/>
      <c r="K136" s="138"/>
      <c r="L136" s="138"/>
      <c r="M136" s="138"/>
      <c r="N136" s="138"/>
      <c r="O136" s="138"/>
      <c r="P136" s="138"/>
    </row>
    <row r="137">
      <c r="A137" s="138"/>
      <c r="B137" s="138"/>
      <c r="C137" s="138"/>
      <c r="D137" s="138"/>
      <c r="E137" s="138"/>
      <c r="F137" s="138"/>
      <c r="G137" s="138"/>
      <c r="H137" s="138"/>
      <c r="I137" s="138"/>
      <c r="J137" s="138"/>
      <c r="K137" s="138"/>
      <c r="L137" s="138"/>
      <c r="M137" s="138"/>
      <c r="N137" s="138"/>
      <c r="O137" s="138"/>
      <c r="P137" s="138"/>
    </row>
    <row r="138">
      <c r="A138" s="138"/>
      <c r="B138" s="138"/>
      <c r="C138" s="138"/>
      <c r="D138" s="138"/>
      <c r="E138" s="138"/>
      <c r="F138" s="138"/>
      <c r="G138" s="138"/>
      <c r="H138" s="138"/>
      <c r="I138" s="138"/>
      <c r="J138" s="138"/>
      <c r="K138" s="138"/>
      <c r="L138" s="138"/>
      <c r="M138" s="138"/>
      <c r="N138" s="138"/>
      <c r="O138" s="138"/>
      <c r="P138" s="138"/>
    </row>
    <row r="139">
      <c r="A139" s="138"/>
      <c r="B139" s="138"/>
      <c r="C139" s="138"/>
      <c r="D139" s="138"/>
      <c r="E139" s="138"/>
      <c r="F139" s="138"/>
      <c r="G139" s="138"/>
      <c r="H139" s="138"/>
      <c r="I139" s="138"/>
      <c r="J139" s="138"/>
      <c r="K139" s="138"/>
      <c r="L139" s="138"/>
      <c r="M139" s="138"/>
      <c r="N139" s="138"/>
      <c r="O139" s="138"/>
      <c r="P139" s="138"/>
    </row>
    <row r="140">
      <c r="A140" s="138"/>
      <c r="B140" s="138"/>
      <c r="C140" s="138"/>
      <c r="D140" s="138"/>
      <c r="E140" s="138"/>
      <c r="F140" s="138"/>
      <c r="G140" s="138"/>
      <c r="H140" s="138"/>
      <c r="I140" s="138"/>
      <c r="J140" s="138"/>
      <c r="K140" s="138"/>
      <c r="L140" s="138"/>
      <c r="M140" s="138"/>
      <c r="N140" s="138"/>
      <c r="O140" s="138"/>
      <c r="P140" s="138"/>
    </row>
    <row r="141">
      <c r="A141" s="138"/>
      <c r="B141" s="138"/>
      <c r="C141" s="138"/>
      <c r="D141" s="138"/>
      <c r="E141" s="138"/>
      <c r="F141" s="138"/>
      <c r="G141" s="138"/>
      <c r="H141" s="138"/>
      <c r="I141" s="138"/>
      <c r="J141" s="138"/>
      <c r="K141" s="138"/>
      <c r="L141" s="138"/>
      <c r="M141" s="138"/>
      <c r="N141" s="138"/>
      <c r="O141" s="138"/>
      <c r="P141" s="138"/>
    </row>
    <row r="142">
      <c r="A142" s="138"/>
      <c r="B142" s="138"/>
      <c r="C142" s="138"/>
      <c r="D142" s="138"/>
      <c r="E142" s="138"/>
      <c r="F142" s="138"/>
      <c r="G142" s="138"/>
      <c r="H142" s="138"/>
      <c r="I142" s="138"/>
      <c r="J142" s="138"/>
      <c r="K142" s="138"/>
      <c r="L142" s="138"/>
      <c r="M142" s="138"/>
      <c r="N142" s="138"/>
      <c r="O142" s="138"/>
      <c r="P142" s="138"/>
    </row>
    <row r="143">
      <c r="A143" s="138"/>
      <c r="B143" s="138"/>
      <c r="C143" s="138"/>
      <c r="D143" s="138"/>
      <c r="E143" s="138"/>
      <c r="F143" s="138"/>
      <c r="G143" s="138"/>
      <c r="H143" s="138"/>
      <c r="I143" s="138"/>
      <c r="J143" s="138"/>
      <c r="K143" s="138"/>
      <c r="L143" s="138"/>
      <c r="M143" s="138"/>
      <c r="N143" s="138"/>
      <c r="O143" s="138"/>
      <c r="P143" s="138"/>
    </row>
    <row r="144">
      <c r="A144" s="138"/>
      <c r="B144" s="138"/>
      <c r="C144" s="138"/>
      <c r="D144" s="138"/>
      <c r="E144" s="138"/>
      <c r="F144" s="138"/>
      <c r="G144" s="138"/>
      <c r="H144" s="138"/>
      <c r="I144" s="138"/>
      <c r="J144" s="138"/>
      <c r="K144" s="138"/>
      <c r="L144" s="138"/>
      <c r="M144" s="138"/>
      <c r="N144" s="138"/>
      <c r="O144" s="138"/>
      <c r="P144" s="138"/>
    </row>
    <row r="145">
      <c r="A145" s="138"/>
      <c r="B145" s="138"/>
      <c r="C145" s="138"/>
      <c r="D145" s="138"/>
      <c r="E145" s="138"/>
      <c r="F145" s="138"/>
      <c r="G145" s="138"/>
      <c r="H145" s="138"/>
      <c r="I145" s="138"/>
      <c r="J145" s="138"/>
      <c r="K145" s="138"/>
      <c r="L145" s="138"/>
      <c r="M145" s="138"/>
      <c r="N145" s="138"/>
      <c r="O145" s="138"/>
      <c r="P145" s="138"/>
    </row>
    <row r="146">
      <c r="A146" s="138"/>
      <c r="B146" s="138"/>
      <c r="C146" s="138"/>
      <c r="D146" s="138"/>
      <c r="E146" s="138"/>
      <c r="F146" s="138"/>
      <c r="G146" s="138"/>
      <c r="H146" s="138"/>
      <c r="I146" s="138"/>
      <c r="J146" s="138"/>
      <c r="K146" s="138"/>
      <c r="L146" s="138"/>
      <c r="M146" s="138"/>
      <c r="N146" s="138"/>
      <c r="O146" s="138"/>
      <c r="P146" s="138"/>
    </row>
    <row r="147">
      <c r="A147" s="138"/>
      <c r="B147" s="138"/>
      <c r="C147" s="138"/>
      <c r="D147" s="138"/>
      <c r="E147" s="138"/>
      <c r="F147" s="138"/>
      <c r="G147" s="138"/>
      <c r="H147" s="138"/>
      <c r="I147" s="138"/>
      <c r="J147" s="138"/>
      <c r="K147" s="138"/>
      <c r="L147" s="138"/>
      <c r="M147" s="138"/>
      <c r="N147" s="138"/>
      <c r="O147" s="138"/>
      <c r="P147" s="138"/>
    </row>
    <row r="148">
      <c r="A148" s="138"/>
      <c r="B148" s="138"/>
      <c r="C148" s="138"/>
      <c r="D148" s="138"/>
      <c r="E148" s="138"/>
      <c r="F148" s="138"/>
      <c r="G148" s="138"/>
      <c r="H148" s="138"/>
      <c r="I148" s="138"/>
      <c r="J148" s="138"/>
      <c r="K148" s="138"/>
      <c r="L148" s="138"/>
      <c r="M148" s="138"/>
      <c r="N148" s="138"/>
      <c r="O148" s="138"/>
      <c r="P148" s="138"/>
    </row>
    <row r="149">
      <c r="A149" s="138"/>
      <c r="B149" s="138"/>
      <c r="C149" s="138"/>
      <c r="D149" s="138"/>
      <c r="E149" s="138"/>
      <c r="F149" s="138"/>
      <c r="G149" s="138"/>
      <c r="H149" s="138"/>
      <c r="I149" s="138"/>
      <c r="J149" s="138"/>
      <c r="K149" s="138"/>
      <c r="L149" s="138"/>
      <c r="M149" s="138"/>
      <c r="N149" s="138"/>
      <c r="O149" s="138"/>
      <c r="P149" s="138"/>
    </row>
    <row r="150">
      <c r="A150" s="138"/>
      <c r="B150" s="138"/>
      <c r="C150" s="138"/>
      <c r="D150" s="138"/>
      <c r="E150" s="138"/>
      <c r="F150" s="138"/>
      <c r="G150" s="138"/>
      <c r="H150" s="138"/>
      <c r="I150" s="138"/>
      <c r="J150" s="138"/>
      <c r="K150" s="138"/>
      <c r="L150" s="138"/>
      <c r="M150" s="138"/>
      <c r="N150" s="138"/>
      <c r="O150" s="138"/>
      <c r="P150" s="138"/>
    </row>
    <row r="151">
      <c r="A151" s="138"/>
      <c r="B151" s="138"/>
      <c r="C151" s="138"/>
      <c r="D151" s="138"/>
      <c r="E151" s="138"/>
      <c r="F151" s="138"/>
      <c r="G151" s="138"/>
      <c r="H151" s="138"/>
      <c r="I151" s="138"/>
      <c r="J151" s="138"/>
      <c r="K151" s="138"/>
      <c r="L151" s="138"/>
      <c r="M151" s="138"/>
      <c r="N151" s="138"/>
      <c r="O151" s="138"/>
      <c r="P151" s="138"/>
    </row>
    <row r="152">
      <c r="A152" s="138"/>
      <c r="B152" s="138"/>
      <c r="C152" s="138"/>
      <c r="D152" s="138"/>
      <c r="E152" s="138"/>
      <c r="F152" s="138"/>
      <c r="G152" s="138"/>
      <c r="H152" s="138"/>
      <c r="I152" s="138"/>
      <c r="J152" s="138"/>
      <c r="K152" s="138"/>
      <c r="L152" s="138"/>
      <c r="M152" s="138"/>
      <c r="N152" s="138"/>
      <c r="O152" s="138"/>
      <c r="P152" s="138"/>
    </row>
    <row r="153">
      <c r="A153" s="138"/>
      <c r="B153" s="138"/>
      <c r="C153" s="138"/>
      <c r="D153" s="138"/>
      <c r="E153" s="138"/>
      <c r="F153" s="138"/>
      <c r="G153" s="138"/>
      <c r="H153" s="138"/>
      <c r="I153" s="138"/>
      <c r="J153" s="138"/>
      <c r="K153" s="138"/>
      <c r="L153" s="138"/>
      <c r="M153" s="138"/>
      <c r="N153" s="138"/>
      <c r="O153" s="138"/>
      <c r="P153" s="138"/>
    </row>
    <row r="154">
      <c r="A154" s="138"/>
      <c r="B154" s="138"/>
      <c r="C154" s="138"/>
      <c r="D154" s="138"/>
      <c r="E154" s="138"/>
      <c r="F154" s="138"/>
      <c r="G154" s="138"/>
      <c r="H154" s="138"/>
      <c r="I154" s="138"/>
      <c r="J154" s="138"/>
      <c r="K154" s="138"/>
      <c r="L154" s="138"/>
      <c r="M154" s="138"/>
      <c r="N154" s="138"/>
      <c r="O154" s="138"/>
      <c r="P154" s="138"/>
    </row>
    <row r="155">
      <c r="A155" s="138"/>
      <c r="B155" s="138"/>
      <c r="C155" s="138"/>
      <c r="D155" s="138"/>
      <c r="E155" s="138"/>
      <c r="F155" s="138"/>
      <c r="G155" s="138"/>
      <c r="H155" s="138"/>
      <c r="I155" s="138"/>
      <c r="J155" s="138"/>
      <c r="K155" s="138"/>
      <c r="L155" s="138"/>
      <c r="M155" s="138"/>
      <c r="N155" s="138"/>
      <c r="O155" s="138"/>
      <c r="P155" s="138"/>
    </row>
    <row r="156">
      <c r="A156" s="138"/>
      <c r="B156" s="138"/>
      <c r="C156" s="138"/>
      <c r="D156" s="138"/>
      <c r="E156" s="138"/>
      <c r="F156" s="138"/>
      <c r="G156" s="138"/>
      <c r="H156" s="138"/>
      <c r="I156" s="138"/>
      <c r="J156" s="138"/>
      <c r="K156" s="138"/>
      <c r="L156" s="138"/>
      <c r="M156" s="138"/>
      <c r="N156" s="138"/>
      <c r="O156" s="138"/>
      <c r="P156" s="138"/>
    </row>
    <row r="157">
      <c r="A157" s="138"/>
      <c r="B157" s="138"/>
      <c r="C157" s="138"/>
      <c r="D157" s="138"/>
      <c r="E157" s="138"/>
      <c r="F157" s="138"/>
      <c r="G157" s="138"/>
      <c r="H157" s="138"/>
      <c r="I157" s="138"/>
      <c r="J157" s="138"/>
      <c r="K157" s="138"/>
      <c r="L157" s="138"/>
      <c r="M157" s="138"/>
      <c r="N157" s="138"/>
      <c r="O157" s="138"/>
      <c r="P157" s="138"/>
    </row>
    <row r="158">
      <c r="A158" s="138"/>
      <c r="B158" s="138"/>
      <c r="C158" s="138"/>
      <c r="D158" s="138"/>
      <c r="E158" s="138"/>
      <c r="F158" s="138"/>
      <c r="G158" s="138"/>
      <c r="H158" s="138"/>
      <c r="I158" s="138"/>
      <c r="J158" s="138"/>
      <c r="K158" s="138"/>
      <c r="L158" s="138"/>
      <c r="M158" s="138"/>
      <c r="N158" s="138"/>
      <c r="O158" s="138"/>
      <c r="P158" s="138"/>
    </row>
    <row r="159">
      <c r="A159" s="138"/>
      <c r="B159" s="138"/>
      <c r="C159" s="138"/>
      <c r="D159" s="138"/>
      <c r="E159" s="138"/>
      <c r="F159" s="138"/>
      <c r="G159" s="138"/>
      <c r="H159" s="138"/>
      <c r="I159" s="138"/>
      <c r="J159" s="138"/>
      <c r="K159" s="138"/>
      <c r="L159" s="138"/>
      <c r="M159" s="138"/>
      <c r="N159" s="138"/>
      <c r="O159" s="138"/>
      <c r="P159" s="138"/>
    </row>
    <row r="160">
      <c r="A160" s="138"/>
      <c r="B160" s="138"/>
      <c r="C160" s="138"/>
      <c r="D160" s="138"/>
      <c r="E160" s="138"/>
      <c r="F160" s="138"/>
      <c r="G160" s="138"/>
      <c r="H160" s="138"/>
      <c r="I160" s="138"/>
      <c r="J160" s="138"/>
      <c r="K160" s="138"/>
      <c r="L160" s="138"/>
      <c r="M160" s="138"/>
      <c r="N160" s="138"/>
      <c r="O160" s="138"/>
      <c r="P160" s="138"/>
    </row>
    <row r="161">
      <c r="A161" s="138"/>
      <c r="B161" s="138"/>
      <c r="C161" s="138"/>
      <c r="D161" s="138"/>
      <c r="E161" s="138"/>
      <c r="F161" s="138"/>
      <c r="G161" s="138"/>
      <c r="H161" s="138"/>
      <c r="I161" s="138"/>
      <c r="J161" s="138"/>
      <c r="K161" s="138"/>
      <c r="L161" s="138"/>
      <c r="M161" s="138"/>
      <c r="N161" s="138"/>
      <c r="O161" s="138"/>
      <c r="P161" s="138"/>
    </row>
    <row r="162">
      <c r="A162" s="138"/>
      <c r="B162" s="138"/>
      <c r="C162" s="138"/>
      <c r="D162" s="138"/>
      <c r="E162" s="138"/>
      <c r="F162" s="138"/>
      <c r="G162" s="138"/>
      <c r="H162" s="138"/>
      <c r="I162" s="138"/>
      <c r="J162" s="138"/>
      <c r="K162" s="138"/>
      <c r="L162" s="138"/>
      <c r="M162" s="138"/>
      <c r="N162" s="138"/>
      <c r="O162" s="138"/>
      <c r="P162" s="138"/>
    </row>
    <row r="163">
      <c r="A163" s="138"/>
      <c r="B163" s="138"/>
      <c r="C163" s="138"/>
      <c r="D163" s="138"/>
      <c r="E163" s="138"/>
      <c r="F163" s="138"/>
      <c r="G163" s="138"/>
      <c r="H163" s="138"/>
      <c r="I163" s="138"/>
      <c r="J163" s="138"/>
      <c r="K163" s="138"/>
      <c r="L163" s="138"/>
      <c r="M163" s="138"/>
      <c r="N163" s="138"/>
      <c r="O163" s="138"/>
      <c r="P163" s="138"/>
    </row>
    <row r="164">
      <c r="A164" s="138"/>
      <c r="B164" s="138"/>
      <c r="C164" s="138"/>
      <c r="D164" s="138"/>
      <c r="E164" s="138"/>
      <c r="F164" s="138"/>
      <c r="G164" s="138"/>
      <c r="H164" s="138"/>
      <c r="I164" s="138"/>
      <c r="J164" s="138"/>
      <c r="K164" s="138"/>
      <c r="L164" s="138"/>
      <c r="M164" s="138"/>
      <c r="N164" s="138"/>
      <c r="O164" s="138"/>
      <c r="P164" s="138"/>
    </row>
    <row r="165">
      <c r="A165" s="138"/>
      <c r="B165" s="138"/>
      <c r="C165" s="138"/>
      <c r="D165" s="138"/>
      <c r="E165" s="138"/>
      <c r="F165" s="138"/>
      <c r="G165" s="138"/>
      <c r="H165" s="138"/>
      <c r="I165" s="138"/>
      <c r="J165" s="138"/>
      <c r="K165" s="138"/>
      <c r="L165" s="138"/>
      <c r="M165" s="138"/>
      <c r="N165" s="138"/>
      <c r="O165" s="138"/>
      <c r="P165" s="138"/>
    </row>
    <row r="166">
      <c r="A166" s="138"/>
      <c r="B166" s="138"/>
      <c r="C166" s="138"/>
      <c r="D166" s="138"/>
      <c r="E166" s="138"/>
      <c r="F166" s="138"/>
      <c r="G166" s="138"/>
      <c r="H166" s="138"/>
      <c r="I166" s="138"/>
      <c r="J166" s="138"/>
      <c r="K166" s="138"/>
      <c r="L166" s="138"/>
      <c r="M166" s="138"/>
      <c r="N166" s="138"/>
      <c r="O166" s="138"/>
      <c r="P166" s="138"/>
    </row>
    <row r="167">
      <c r="A167" s="138"/>
      <c r="B167" s="138"/>
      <c r="C167" s="138"/>
      <c r="D167" s="138"/>
      <c r="E167" s="138"/>
      <c r="F167" s="138"/>
      <c r="G167" s="138"/>
      <c r="H167" s="138"/>
      <c r="I167" s="138"/>
      <c r="J167" s="138"/>
      <c r="K167" s="138"/>
      <c r="L167" s="138"/>
      <c r="M167" s="138"/>
      <c r="N167" s="138"/>
      <c r="O167" s="138"/>
      <c r="P167" s="138"/>
    </row>
    <row r="168">
      <c r="A168" s="138"/>
      <c r="B168" s="138"/>
      <c r="C168" s="138"/>
      <c r="D168" s="138"/>
      <c r="E168" s="138"/>
      <c r="F168" s="138"/>
      <c r="G168" s="138"/>
      <c r="H168" s="138"/>
      <c r="I168" s="138"/>
      <c r="J168" s="138"/>
      <c r="K168" s="138"/>
      <c r="L168" s="138"/>
      <c r="M168" s="138"/>
      <c r="N168" s="138"/>
      <c r="O168" s="138"/>
      <c r="P168" s="138"/>
    </row>
    <row r="169">
      <c r="A169" s="138"/>
      <c r="B169" s="138"/>
      <c r="C169" s="138"/>
      <c r="D169" s="138"/>
      <c r="E169" s="138"/>
      <c r="F169" s="138"/>
      <c r="G169" s="138"/>
      <c r="H169" s="138"/>
      <c r="I169" s="138"/>
      <c r="J169" s="138"/>
      <c r="K169" s="138"/>
      <c r="L169" s="138"/>
      <c r="M169" s="138"/>
      <c r="N169" s="138"/>
      <c r="O169" s="138"/>
      <c r="P169" s="138"/>
    </row>
    <row r="170">
      <c r="A170" s="138"/>
      <c r="B170" s="138"/>
      <c r="C170" s="138"/>
      <c r="D170" s="138"/>
      <c r="E170" s="138"/>
      <c r="F170" s="138"/>
      <c r="G170" s="138"/>
      <c r="H170" s="138"/>
      <c r="I170" s="138"/>
      <c r="J170" s="138"/>
      <c r="K170" s="138"/>
      <c r="L170" s="138"/>
      <c r="M170" s="138"/>
      <c r="N170" s="138"/>
      <c r="O170" s="138"/>
      <c r="P170" s="138"/>
    </row>
    <row r="171">
      <c r="A171" s="138"/>
      <c r="B171" s="138"/>
      <c r="C171" s="138"/>
      <c r="D171" s="138"/>
      <c r="E171" s="138"/>
      <c r="F171" s="138"/>
      <c r="G171" s="138"/>
      <c r="H171" s="138"/>
      <c r="I171" s="138"/>
      <c r="J171" s="138"/>
      <c r="K171" s="138"/>
      <c r="L171" s="138"/>
      <c r="M171" s="138"/>
      <c r="N171" s="138"/>
      <c r="O171" s="138"/>
      <c r="P171" s="138"/>
    </row>
    <row r="172">
      <c r="A172" s="138"/>
      <c r="B172" s="138"/>
      <c r="C172" s="138"/>
      <c r="D172" s="138"/>
      <c r="E172" s="138"/>
      <c r="F172" s="138"/>
      <c r="G172" s="138"/>
      <c r="H172" s="138"/>
      <c r="I172" s="138"/>
      <c r="J172" s="138"/>
      <c r="K172" s="138"/>
      <c r="L172" s="138"/>
      <c r="M172" s="138"/>
      <c r="N172" s="138"/>
      <c r="O172" s="138"/>
      <c r="P172" s="138"/>
    </row>
    <row r="173">
      <c r="A173" s="138"/>
      <c r="B173" s="138"/>
      <c r="C173" s="138"/>
      <c r="D173" s="138"/>
      <c r="E173" s="138"/>
      <c r="F173" s="138"/>
      <c r="G173" s="138"/>
      <c r="H173" s="138"/>
      <c r="I173" s="138"/>
      <c r="J173" s="138"/>
      <c r="K173" s="138"/>
      <c r="L173" s="138"/>
      <c r="M173" s="138"/>
      <c r="N173" s="138"/>
      <c r="O173" s="138"/>
      <c r="P173" s="138"/>
    </row>
    <row r="174">
      <c r="A174" s="138"/>
      <c r="B174" s="138"/>
      <c r="C174" s="138"/>
      <c r="D174" s="138"/>
      <c r="E174" s="138"/>
      <c r="F174" s="138"/>
      <c r="G174" s="138"/>
      <c r="H174" s="138"/>
      <c r="I174" s="138"/>
      <c r="J174" s="138"/>
      <c r="K174" s="138"/>
      <c r="L174" s="138"/>
      <c r="M174" s="138"/>
      <c r="N174" s="138"/>
      <c r="O174" s="138"/>
      <c r="P174" s="138"/>
    </row>
    <row r="175">
      <c r="A175" s="138"/>
      <c r="B175" s="138"/>
      <c r="C175" s="138"/>
      <c r="D175" s="138"/>
      <c r="E175" s="138"/>
      <c r="F175" s="138"/>
      <c r="G175" s="138"/>
      <c r="H175" s="138"/>
      <c r="I175" s="138"/>
      <c r="J175" s="138"/>
      <c r="K175" s="138"/>
      <c r="L175" s="138"/>
      <c r="M175" s="138"/>
      <c r="N175" s="138"/>
      <c r="O175" s="138"/>
      <c r="P175" s="138"/>
    </row>
    <row r="176">
      <c r="A176" s="138"/>
      <c r="B176" s="138"/>
      <c r="C176" s="138"/>
      <c r="D176" s="138"/>
      <c r="E176" s="138"/>
      <c r="F176" s="138"/>
      <c r="G176" s="138"/>
      <c r="H176" s="138"/>
      <c r="I176" s="138"/>
      <c r="J176" s="138"/>
      <c r="K176" s="138"/>
      <c r="L176" s="138"/>
      <c r="M176" s="138"/>
      <c r="N176" s="138"/>
      <c r="O176" s="138"/>
      <c r="P176" s="138"/>
    </row>
    <row r="177">
      <c r="A177" s="138"/>
      <c r="B177" s="138"/>
      <c r="C177" s="138"/>
      <c r="D177" s="138"/>
      <c r="E177" s="138"/>
      <c r="F177" s="138"/>
      <c r="G177" s="138"/>
      <c r="H177" s="138"/>
      <c r="I177" s="138"/>
      <c r="J177" s="138"/>
      <c r="K177" s="138"/>
      <c r="L177" s="138"/>
      <c r="M177" s="138"/>
      <c r="N177" s="138"/>
      <c r="O177" s="138"/>
      <c r="P177" s="138"/>
    </row>
    <row r="178">
      <c r="A178" s="138"/>
      <c r="B178" s="138"/>
      <c r="C178" s="138"/>
      <c r="D178" s="138"/>
      <c r="E178" s="138"/>
      <c r="F178" s="138"/>
      <c r="G178" s="138"/>
      <c r="H178" s="138"/>
      <c r="I178" s="138"/>
      <c r="J178" s="138"/>
      <c r="K178" s="138"/>
      <c r="L178" s="138"/>
      <c r="M178" s="138"/>
      <c r="N178" s="138"/>
      <c r="O178" s="138"/>
      <c r="P178" s="138"/>
    </row>
    <row r="179">
      <c r="A179" s="138"/>
      <c r="B179" s="138"/>
      <c r="C179" s="138"/>
      <c r="D179" s="138"/>
      <c r="E179" s="138"/>
      <c r="F179" s="138"/>
      <c r="G179" s="138"/>
      <c r="H179" s="138"/>
      <c r="I179" s="138"/>
      <c r="J179" s="138"/>
      <c r="K179" s="138"/>
      <c r="L179" s="138"/>
      <c r="M179" s="138"/>
      <c r="N179" s="138"/>
      <c r="O179" s="138"/>
      <c r="P179" s="138"/>
    </row>
    <row r="180">
      <c r="A180" s="138"/>
      <c r="B180" s="138"/>
      <c r="C180" s="138"/>
      <c r="D180" s="138"/>
      <c r="E180" s="138"/>
      <c r="F180" s="138"/>
      <c r="G180" s="138"/>
      <c r="H180" s="138"/>
      <c r="I180" s="138"/>
      <c r="J180" s="138"/>
      <c r="K180" s="138"/>
      <c r="L180" s="138"/>
      <c r="M180" s="138"/>
      <c r="N180" s="138"/>
      <c r="O180" s="138"/>
      <c r="P180" s="138"/>
    </row>
    <row r="181">
      <c r="A181" s="138"/>
      <c r="B181" s="138"/>
      <c r="C181" s="138"/>
      <c r="D181" s="138"/>
      <c r="E181" s="138"/>
      <c r="F181" s="138"/>
      <c r="G181" s="138"/>
      <c r="H181" s="138"/>
      <c r="I181" s="138"/>
      <c r="J181" s="138"/>
      <c r="K181" s="138"/>
      <c r="L181" s="138"/>
      <c r="M181" s="138"/>
      <c r="N181" s="138"/>
      <c r="O181" s="138"/>
      <c r="P181" s="138"/>
    </row>
    <row r="182">
      <c r="A182" s="138"/>
      <c r="B182" s="138"/>
      <c r="C182" s="138"/>
      <c r="D182" s="138"/>
      <c r="E182" s="138"/>
      <c r="F182" s="138"/>
      <c r="G182" s="138"/>
      <c r="H182" s="138"/>
      <c r="I182" s="138"/>
      <c r="J182" s="138"/>
      <c r="K182" s="138"/>
      <c r="L182" s="138"/>
      <c r="M182" s="138"/>
      <c r="N182" s="138"/>
      <c r="O182" s="138"/>
      <c r="P182" s="138"/>
    </row>
    <row r="183">
      <c r="A183" s="138"/>
      <c r="B183" s="138"/>
      <c r="C183" s="138"/>
      <c r="D183" s="138"/>
      <c r="E183" s="138"/>
      <c r="F183" s="138"/>
      <c r="G183" s="138"/>
      <c r="H183" s="138"/>
      <c r="I183" s="138"/>
      <c r="J183" s="138"/>
      <c r="K183" s="138"/>
      <c r="L183" s="138"/>
      <c r="M183" s="138"/>
      <c r="N183" s="138"/>
      <c r="O183" s="138"/>
      <c r="P183" s="138"/>
    </row>
    <row r="184">
      <c r="A184" s="138"/>
      <c r="B184" s="138"/>
      <c r="C184" s="138"/>
      <c r="D184" s="138"/>
      <c r="E184" s="138"/>
      <c r="F184" s="138"/>
      <c r="G184" s="138"/>
      <c r="H184" s="138"/>
      <c r="I184" s="138"/>
      <c r="J184" s="138"/>
      <c r="K184" s="138"/>
      <c r="L184" s="138"/>
      <c r="M184" s="138"/>
      <c r="N184" s="138"/>
      <c r="O184" s="138"/>
      <c r="P184" s="138"/>
    </row>
    <row r="185">
      <c r="A185" s="138"/>
      <c r="B185" s="138"/>
      <c r="C185" s="138"/>
      <c r="D185" s="138"/>
      <c r="E185" s="138"/>
      <c r="F185" s="138"/>
      <c r="G185" s="138"/>
      <c r="H185" s="138"/>
      <c r="I185" s="138"/>
      <c r="J185" s="138"/>
      <c r="K185" s="138"/>
      <c r="L185" s="138"/>
      <c r="M185" s="138"/>
      <c r="N185" s="138"/>
      <c r="O185" s="138"/>
      <c r="P185" s="138"/>
    </row>
    <row r="186">
      <c r="A186" s="138"/>
      <c r="B186" s="138"/>
      <c r="C186" s="138"/>
      <c r="D186" s="138"/>
      <c r="E186" s="138"/>
      <c r="F186" s="138"/>
      <c r="G186" s="138"/>
      <c r="H186" s="138"/>
      <c r="I186" s="138"/>
      <c r="J186" s="138"/>
      <c r="K186" s="138"/>
      <c r="L186" s="138"/>
      <c r="M186" s="138"/>
      <c r="N186" s="138"/>
      <c r="O186" s="138"/>
      <c r="P186" s="138"/>
    </row>
    <row r="187">
      <c r="A187" s="138"/>
      <c r="B187" s="138"/>
      <c r="C187" s="138"/>
      <c r="D187" s="138"/>
      <c r="E187" s="138"/>
      <c r="F187" s="138"/>
      <c r="G187" s="138"/>
      <c r="H187" s="138"/>
      <c r="I187" s="138"/>
      <c r="J187" s="138"/>
      <c r="K187" s="138"/>
      <c r="L187" s="138"/>
      <c r="M187" s="138"/>
      <c r="N187" s="138"/>
      <c r="O187" s="138"/>
      <c r="P187" s="138"/>
    </row>
    <row r="188">
      <c r="A188" s="138"/>
      <c r="B188" s="138"/>
      <c r="C188" s="138"/>
      <c r="D188" s="138"/>
      <c r="E188" s="138"/>
      <c r="F188" s="138"/>
      <c r="G188" s="138"/>
      <c r="H188" s="138"/>
      <c r="I188" s="138"/>
      <c r="J188" s="138"/>
      <c r="K188" s="138"/>
      <c r="L188" s="138"/>
      <c r="M188" s="138"/>
      <c r="N188" s="138"/>
      <c r="O188" s="138"/>
      <c r="P188" s="138"/>
    </row>
    <row r="189">
      <c r="A189" s="138"/>
      <c r="B189" s="138"/>
      <c r="C189" s="138"/>
      <c r="D189" s="138"/>
      <c r="E189" s="138"/>
      <c r="F189" s="138"/>
      <c r="G189" s="138"/>
      <c r="H189" s="138"/>
      <c r="I189" s="138"/>
      <c r="J189" s="138"/>
      <c r="K189" s="138"/>
      <c r="L189" s="138"/>
      <c r="M189" s="138"/>
      <c r="N189" s="138"/>
      <c r="O189" s="138"/>
      <c r="P189" s="138"/>
    </row>
    <row r="190">
      <c r="A190" s="138"/>
      <c r="B190" s="138"/>
      <c r="C190" s="138"/>
      <c r="D190" s="138"/>
      <c r="E190" s="138"/>
      <c r="F190" s="138"/>
      <c r="G190" s="138"/>
      <c r="H190" s="138"/>
      <c r="I190" s="138"/>
      <c r="J190" s="138"/>
      <c r="K190" s="138"/>
      <c r="L190" s="138"/>
      <c r="M190" s="138"/>
      <c r="N190" s="138"/>
      <c r="O190" s="138"/>
      <c r="P190" s="138"/>
    </row>
    <row r="191">
      <c r="A191" s="138"/>
      <c r="B191" s="138"/>
      <c r="C191" s="138"/>
      <c r="D191" s="138"/>
      <c r="E191" s="138"/>
      <c r="F191" s="138"/>
      <c r="G191" s="138"/>
      <c r="H191" s="138"/>
      <c r="I191" s="138"/>
      <c r="J191" s="138"/>
      <c r="K191" s="138"/>
      <c r="L191" s="138"/>
      <c r="M191" s="138"/>
      <c r="N191" s="138"/>
      <c r="O191" s="138"/>
      <c r="P191" s="138"/>
    </row>
    <row r="192">
      <c r="A192" s="138"/>
      <c r="B192" s="138"/>
      <c r="C192" s="138"/>
      <c r="D192" s="138"/>
      <c r="E192" s="138"/>
      <c r="F192" s="138"/>
      <c r="G192" s="138"/>
      <c r="H192" s="138"/>
      <c r="I192" s="138"/>
      <c r="J192" s="138"/>
      <c r="K192" s="138"/>
      <c r="L192" s="138"/>
      <c r="M192" s="138"/>
      <c r="N192" s="138"/>
      <c r="O192" s="138"/>
      <c r="P192" s="138"/>
    </row>
    <row r="193">
      <c r="A193" s="138"/>
      <c r="B193" s="138"/>
      <c r="C193" s="138"/>
      <c r="D193" s="138"/>
      <c r="E193" s="138"/>
      <c r="F193" s="138"/>
      <c r="G193" s="138"/>
      <c r="H193" s="138"/>
      <c r="I193" s="138"/>
      <c r="J193" s="138"/>
      <c r="K193" s="138"/>
      <c r="L193" s="138"/>
      <c r="M193" s="138"/>
      <c r="N193" s="138"/>
      <c r="O193" s="138"/>
      <c r="P193" s="138"/>
    </row>
    <row r="194">
      <c r="A194" s="138"/>
      <c r="B194" s="138"/>
      <c r="C194" s="138"/>
      <c r="D194" s="138"/>
      <c r="E194" s="138"/>
      <c r="F194" s="138"/>
      <c r="G194" s="138"/>
      <c r="H194" s="138"/>
      <c r="I194" s="138"/>
      <c r="J194" s="138"/>
      <c r="K194" s="138"/>
      <c r="L194" s="138"/>
      <c r="M194" s="138"/>
      <c r="N194" s="138"/>
      <c r="O194" s="138"/>
      <c r="P194" s="138"/>
    </row>
    <row r="195">
      <c r="A195" s="138"/>
      <c r="B195" s="138"/>
      <c r="C195" s="138"/>
      <c r="D195" s="138"/>
      <c r="E195" s="138"/>
      <c r="F195" s="138"/>
      <c r="G195" s="138"/>
      <c r="H195" s="138"/>
      <c r="I195" s="138"/>
      <c r="J195" s="138"/>
      <c r="K195" s="138"/>
      <c r="L195" s="138"/>
      <c r="M195" s="138"/>
      <c r="N195" s="138"/>
      <c r="O195" s="138"/>
      <c r="P195" s="138"/>
    </row>
    <row r="196">
      <c r="A196" s="138"/>
      <c r="B196" s="138"/>
      <c r="C196" s="138"/>
      <c r="D196" s="138"/>
      <c r="E196" s="138"/>
      <c r="F196" s="138"/>
      <c r="G196" s="138"/>
      <c r="H196" s="138"/>
      <c r="I196" s="138"/>
      <c r="J196" s="138"/>
      <c r="K196" s="138"/>
      <c r="L196" s="138"/>
      <c r="M196" s="138"/>
      <c r="N196" s="138"/>
      <c r="O196" s="138"/>
      <c r="P196" s="138"/>
    </row>
    <row r="197">
      <c r="A197" s="138"/>
      <c r="B197" s="138"/>
      <c r="C197" s="138"/>
      <c r="D197" s="138"/>
      <c r="E197" s="138"/>
      <c r="F197" s="138"/>
      <c r="G197" s="138"/>
      <c r="H197" s="138"/>
      <c r="I197" s="138"/>
      <c r="J197" s="138"/>
      <c r="K197" s="138"/>
      <c r="L197" s="138"/>
      <c r="M197" s="138"/>
      <c r="N197" s="138"/>
      <c r="O197" s="138"/>
      <c r="P197" s="138"/>
    </row>
    <row r="198">
      <c r="A198" s="138"/>
      <c r="B198" s="138"/>
      <c r="C198" s="138"/>
      <c r="D198" s="138"/>
      <c r="E198" s="138"/>
      <c r="F198" s="138"/>
      <c r="G198" s="138"/>
      <c r="H198" s="138"/>
      <c r="I198" s="138"/>
      <c r="J198" s="138"/>
      <c r="K198" s="138"/>
      <c r="L198" s="138"/>
      <c r="M198" s="138"/>
      <c r="N198" s="138"/>
      <c r="O198" s="138"/>
      <c r="P198" s="138"/>
    </row>
    <row r="199">
      <c r="A199" s="138"/>
      <c r="B199" s="138"/>
      <c r="C199" s="138"/>
      <c r="D199" s="138"/>
      <c r="E199" s="138"/>
      <c r="F199" s="138"/>
      <c r="G199" s="138"/>
      <c r="H199" s="138"/>
      <c r="I199" s="138"/>
      <c r="J199" s="138"/>
      <c r="K199" s="138"/>
      <c r="L199" s="138"/>
      <c r="M199" s="138"/>
      <c r="N199" s="138"/>
      <c r="O199" s="138"/>
      <c r="P199" s="138"/>
    </row>
    <row r="200">
      <c r="A200" s="138"/>
      <c r="B200" s="138"/>
      <c r="C200" s="138"/>
      <c r="D200" s="138"/>
      <c r="E200" s="138"/>
      <c r="F200" s="138"/>
      <c r="G200" s="138"/>
      <c r="H200" s="138"/>
      <c r="I200" s="138"/>
      <c r="J200" s="138"/>
      <c r="K200" s="138"/>
      <c r="L200" s="138"/>
      <c r="M200" s="138"/>
      <c r="N200" s="138"/>
      <c r="O200" s="138"/>
      <c r="P200" s="138"/>
    </row>
    <row r="201">
      <c r="A201" s="138"/>
      <c r="B201" s="138"/>
      <c r="C201" s="138"/>
      <c r="D201" s="138"/>
      <c r="E201" s="138"/>
      <c r="F201" s="138"/>
      <c r="G201" s="138"/>
      <c r="H201" s="138"/>
      <c r="I201" s="138"/>
      <c r="J201" s="138"/>
      <c r="K201" s="138"/>
      <c r="L201" s="138"/>
      <c r="M201" s="138"/>
      <c r="N201" s="138"/>
      <c r="O201" s="138"/>
      <c r="P201" s="138"/>
    </row>
    <row r="202">
      <c r="A202" s="138"/>
      <c r="B202" s="138"/>
      <c r="C202" s="138"/>
      <c r="D202" s="138"/>
      <c r="E202" s="138"/>
      <c r="F202" s="138"/>
      <c r="G202" s="138"/>
      <c r="H202" s="138"/>
      <c r="I202" s="138"/>
      <c r="J202" s="138"/>
      <c r="K202" s="138"/>
      <c r="L202" s="138"/>
      <c r="M202" s="138"/>
      <c r="N202" s="138"/>
      <c r="O202" s="138"/>
      <c r="P202" s="138"/>
    </row>
    <row r="203">
      <c r="A203" s="138"/>
      <c r="B203" s="138"/>
      <c r="C203" s="138"/>
      <c r="D203" s="138"/>
      <c r="E203" s="138"/>
      <c r="F203" s="138"/>
      <c r="G203" s="138"/>
      <c r="H203" s="138"/>
      <c r="I203" s="138"/>
      <c r="J203" s="138"/>
      <c r="K203" s="138"/>
      <c r="L203" s="138"/>
      <c r="M203" s="138"/>
      <c r="N203" s="138"/>
      <c r="O203" s="138"/>
      <c r="P203" s="138"/>
    </row>
    <row r="204">
      <c r="A204" s="138"/>
      <c r="B204" s="138"/>
      <c r="C204" s="138"/>
      <c r="D204" s="138"/>
      <c r="E204" s="138"/>
      <c r="F204" s="138"/>
      <c r="G204" s="138"/>
      <c r="H204" s="138"/>
      <c r="I204" s="138"/>
      <c r="J204" s="138"/>
      <c r="K204" s="138"/>
      <c r="L204" s="138"/>
      <c r="M204" s="138"/>
      <c r="N204" s="138"/>
      <c r="O204" s="138"/>
      <c r="P204" s="138"/>
    </row>
    <row r="205">
      <c r="A205" s="138"/>
      <c r="B205" s="138"/>
      <c r="C205" s="138"/>
      <c r="D205" s="138"/>
      <c r="E205" s="138"/>
      <c r="F205" s="138"/>
      <c r="G205" s="138"/>
      <c r="H205" s="138"/>
      <c r="I205" s="138"/>
      <c r="J205" s="138"/>
      <c r="K205" s="138"/>
      <c r="L205" s="138"/>
      <c r="M205" s="138"/>
      <c r="N205" s="138"/>
      <c r="O205" s="138"/>
      <c r="P205" s="138"/>
    </row>
    <row r="206">
      <c r="A206" s="138"/>
      <c r="B206" s="138"/>
      <c r="C206" s="138"/>
      <c r="D206" s="138"/>
      <c r="E206" s="138"/>
      <c r="F206" s="138"/>
      <c r="G206" s="138"/>
      <c r="H206" s="138"/>
      <c r="I206" s="138"/>
      <c r="J206" s="138"/>
      <c r="K206" s="138"/>
      <c r="L206" s="138"/>
      <c r="M206" s="138"/>
      <c r="N206" s="138"/>
      <c r="O206" s="138"/>
      <c r="P206" s="138"/>
    </row>
    <row r="207">
      <c r="A207" s="138"/>
      <c r="B207" s="138"/>
      <c r="C207" s="138"/>
      <c r="D207" s="138"/>
      <c r="E207" s="138"/>
      <c r="F207" s="138"/>
      <c r="G207" s="138"/>
      <c r="H207" s="138"/>
      <c r="I207" s="138"/>
      <c r="J207" s="138"/>
      <c r="K207" s="138"/>
      <c r="L207" s="138"/>
      <c r="M207" s="138"/>
      <c r="N207" s="138"/>
      <c r="O207" s="138"/>
      <c r="P207" s="138"/>
    </row>
    <row r="208">
      <c r="A208" s="138"/>
      <c r="B208" s="138"/>
      <c r="C208" s="138"/>
      <c r="D208" s="138"/>
      <c r="E208" s="138"/>
      <c r="F208" s="138"/>
      <c r="G208" s="138"/>
      <c r="H208" s="138"/>
      <c r="I208" s="138"/>
      <c r="J208" s="138"/>
      <c r="K208" s="138"/>
      <c r="L208" s="138"/>
      <c r="M208" s="138"/>
      <c r="N208" s="138"/>
      <c r="O208" s="138"/>
      <c r="P208" s="138"/>
    </row>
    <row r="209">
      <c r="A209" s="138"/>
      <c r="B209" s="138"/>
      <c r="C209" s="138"/>
      <c r="D209" s="138"/>
      <c r="E209" s="138"/>
      <c r="F209" s="138"/>
      <c r="G209" s="138"/>
      <c r="H209" s="138"/>
      <c r="I209" s="138"/>
      <c r="J209" s="138"/>
      <c r="K209" s="138"/>
      <c r="L209" s="138"/>
      <c r="M209" s="138"/>
      <c r="N209" s="138"/>
      <c r="O209" s="138"/>
      <c r="P209" s="138"/>
    </row>
    <row r="210">
      <c r="A210" s="138"/>
      <c r="B210" s="138"/>
      <c r="C210" s="138"/>
      <c r="D210" s="138"/>
      <c r="E210" s="138"/>
      <c r="F210" s="138"/>
      <c r="G210" s="138"/>
      <c r="H210" s="138"/>
      <c r="I210" s="138"/>
      <c r="J210" s="138"/>
      <c r="K210" s="138"/>
      <c r="L210" s="138"/>
      <c r="M210" s="138"/>
      <c r="N210" s="138"/>
      <c r="O210" s="138"/>
      <c r="P210" s="138"/>
    </row>
    <row r="211">
      <c r="A211" s="138"/>
      <c r="B211" s="138"/>
      <c r="C211" s="138"/>
      <c r="D211" s="138"/>
      <c r="E211" s="138"/>
      <c r="F211" s="138"/>
      <c r="G211" s="138"/>
      <c r="H211" s="138"/>
      <c r="I211" s="138"/>
      <c r="J211" s="138"/>
      <c r="K211" s="138"/>
      <c r="L211" s="138"/>
      <c r="M211" s="138"/>
      <c r="N211" s="138"/>
      <c r="O211" s="138"/>
      <c r="P211" s="138"/>
    </row>
    <row r="212">
      <c r="A212" s="138"/>
      <c r="B212" s="138"/>
      <c r="C212" s="138"/>
      <c r="D212" s="138"/>
      <c r="E212" s="138"/>
      <c r="F212" s="138"/>
      <c r="G212" s="138"/>
      <c r="H212" s="138"/>
      <c r="I212" s="138"/>
      <c r="J212" s="138"/>
      <c r="K212" s="138"/>
      <c r="L212" s="138"/>
      <c r="M212" s="138"/>
      <c r="N212" s="138"/>
      <c r="O212" s="138"/>
      <c r="P212" s="138"/>
    </row>
    <row r="213">
      <c r="A213" s="138"/>
      <c r="B213" s="138"/>
      <c r="C213" s="138"/>
      <c r="D213" s="138"/>
      <c r="E213" s="138"/>
      <c r="F213" s="138"/>
      <c r="G213" s="138"/>
      <c r="H213" s="138"/>
      <c r="I213" s="138"/>
      <c r="J213" s="138"/>
      <c r="K213" s="138"/>
      <c r="L213" s="138"/>
      <c r="M213" s="138"/>
      <c r="N213" s="138"/>
      <c r="O213" s="138"/>
      <c r="P213" s="138"/>
    </row>
    <row r="214">
      <c r="A214" s="138"/>
      <c r="B214" s="138"/>
      <c r="C214" s="138"/>
      <c r="D214" s="138"/>
      <c r="E214" s="138"/>
      <c r="F214" s="138"/>
      <c r="G214" s="138"/>
      <c r="H214" s="138"/>
      <c r="I214" s="138"/>
      <c r="J214" s="138"/>
      <c r="K214" s="138"/>
      <c r="L214" s="138"/>
      <c r="M214" s="138"/>
      <c r="N214" s="138"/>
      <c r="O214" s="138"/>
      <c r="P214" s="138"/>
    </row>
    <row r="215">
      <c r="A215" s="138"/>
      <c r="B215" s="138"/>
      <c r="C215" s="138"/>
      <c r="D215" s="138"/>
      <c r="E215" s="138"/>
      <c r="F215" s="138"/>
      <c r="G215" s="138"/>
      <c r="H215" s="138"/>
      <c r="I215" s="138"/>
      <c r="J215" s="138"/>
      <c r="K215" s="138"/>
      <c r="L215" s="138"/>
      <c r="M215" s="138"/>
      <c r="N215" s="138"/>
      <c r="O215" s="138"/>
      <c r="P215" s="138"/>
    </row>
    <row r="216">
      <c r="A216" s="138"/>
      <c r="B216" s="138"/>
      <c r="C216" s="138"/>
      <c r="D216" s="138"/>
      <c r="E216" s="138"/>
      <c r="F216" s="138"/>
      <c r="G216" s="138"/>
      <c r="H216" s="138"/>
      <c r="I216" s="138"/>
      <c r="J216" s="138"/>
      <c r="K216" s="138"/>
      <c r="L216" s="138"/>
      <c r="M216" s="138"/>
      <c r="N216" s="138"/>
      <c r="O216" s="138"/>
      <c r="P216" s="138"/>
    </row>
    <row r="217">
      <c r="A217" s="138"/>
      <c r="B217" s="138"/>
      <c r="C217" s="138"/>
      <c r="D217" s="138"/>
      <c r="E217" s="138"/>
      <c r="F217" s="138"/>
      <c r="G217" s="138"/>
      <c r="H217" s="138"/>
      <c r="I217" s="138"/>
      <c r="J217" s="138"/>
      <c r="K217" s="138"/>
      <c r="L217" s="138"/>
      <c r="M217" s="138"/>
      <c r="N217" s="138"/>
      <c r="O217" s="138"/>
      <c r="P217" s="138"/>
    </row>
    <row r="218">
      <c r="A218" s="138"/>
      <c r="B218" s="138"/>
      <c r="C218" s="138"/>
      <c r="D218" s="138"/>
      <c r="E218" s="138"/>
      <c r="F218" s="138"/>
      <c r="G218" s="138"/>
      <c r="H218" s="138"/>
      <c r="I218" s="138"/>
      <c r="J218" s="138"/>
      <c r="K218" s="138"/>
      <c r="L218" s="138"/>
      <c r="M218" s="138"/>
      <c r="N218" s="138"/>
      <c r="O218" s="138"/>
      <c r="P218" s="138"/>
    </row>
    <row r="219">
      <c r="A219" s="138"/>
      <c r="B219" s="138"/>
      <c r="C219" s="138"/>
      <c r="D219" s="138"/>
      <c r="E219" s="138"/>
      <c r="F219" s="138"/>
      <c r="G219" s="138"/>
      <c r="H219" s="138"/>
      <c r="I219" s="138"/>
      <c r="J219" s="138"/>
      <c r="K219" s="138"/>
      <c r="L219" s="138"/>
      <c r="M219" s="138"/>
      <c r="N219" s="138"/>
      <c r="O219" s="138"/>
      <c r="P219" s="138"/>
    </row>
    <row r="220">
      <c r="A220" s="138"/>
      <c r="B220" s="138"/>
      <c r="C220" s="138"/>
      <c r="D220" s="138"/>
      <c r="E220" s="138"/>
      <c r="F220" s="138"/>
      <c r="G220" s="138"/>
      <c r="H220" s="138"/>
      <c r="I220" s="138"/>
      <c r="J220" s="138"/>
      <c r="K220" s="138"/>
      <c r="L220" s="138"/>
      <c r="M220" s="138"/>
      <c r="N220" s="138"/>
      <c r="O220" s="138"/>
      <c r="P220" s="138"/>
    </row>
    <row r="221">
      <c r="A221" s="138"/>
      <c r="B221" s="138"/>
      <c r="C221" s="138"/>
      <c r="D221" s="138"/>
      <c r="E221" s="138"/>
      <c r="F221" s="138"/>
      <c r="G221" s="138"/>
      <c r="H221" s="138"/>
      <c r="I221" s="138"/>
      <c r="J221" s="138"/>
      <c r="K221" s="138"/>
      <c r="L221" s="138"/>
      <c r="M221" s="138"/>
      <c r="N221" s="138"/>
      <c r="O221" s="138"/>
      <c r="P221" s="138"/>
    </row>
    <row r="222">
      <c r="A222" s="138"/>
      <c r="B222" s="138"/>
      <c r="C222" s="138"/>
      <c r="D222" s="138"/>
      <c r="E222" s="138"/>
      <c r="F222" s="138"/>
      <c r="G222" s="138"/>
      <c r="H222" s="138"/>
      <c r="I222" s="138"/>
      <c r="J222" s="138"/>
      <c r="K222" s="138"/>
      <c r="L222" s="138"/>
      <c r="M222" s="138"/>
      <c r="N222" s="138"/>
      <c r="O222" s="138"/>
      <c r="P222" s="138"/>
    </row>
    <row r="223">
      <c r="A223" s="138"/>
      <c r="B223" s="138"/>
      <c r="C223" s="138"/>
      <c r="D223" s="138"/>
      <c r="E223" s="138"/>
      <c r="F223" s="138"/>
      <c r="G223" s="138"/>
      <c r="H223" s="138"/>
      <c r="I223" s="138"/>
      <c r="J223" s="138"/>
      <c r="K223" s="138"/>
      <c r="L223" s="138"/>
      <c r="M223" s="138"/>
      <c r="N223" s="138"/>
      <c r="O223" s="138"/>
      <c r="P223" s="138"/>
    </row>
    <row r="224">
      <c r="A224" s="138"/>
      <c r="B224" s="138"/>
      <c r="C224" s="138"/>
      <c r="D224" s="138"/>
      <c r="E224" s="138"/>
      <c r="F224" s="138"/>
      <c r="G224" s="138"/>
      <c r="H224" s="138"/>
      <c r="I224" s="138"/>
      <c r="J224" s="138"/>
      <c r="K224" s="138"/>
      <c r="L224" s="138"/>
      <c r="M224" s="138"/>
      <c r="N224" s="138"/>
      <c r="O224" s="138"/>
      <c r="P224" s="138"/>
    </row>
    <row r="225">
      <c r="A225" s="138"/>
      <c r="B225" s="138"/>
      <c r="C225" s="138"/>
      <c r="D225" s="138"/>
      <c r="E225" s="138"/>
      <c r="F225" s="138"/>
      <c r="G225" s="138"/>
      <c r="H225" s="138"/>
      <c r="I225" s="138"/>
      <c r="J225" s="138"/>
      <c r="K225" s="138"/>
      <c r="L225" s="138"/>
      <c r="M225" s="138"/>
      <c r="N225" s="138"/>
      <c r="O225" s="138"/>
      <c r="P225" s="138"/>
    </row>
    <row r="226">
      <c r="A226" s="138"/>
      <c r="B226" s="138"/>
      <c r="C226" s="138"/>
      <c r="D226" s="138"/>
      <c r="E226" s="138"/>
      <c r="F226" s="138"/>
      <c r="G226" s="138"/>
      <c r="H226" s="138"/>
      <c r="I226" s="138"/>
      <c r="J226" s="138"/>
      <c r="K226" s="138"/>
      <c r="L226" s="138"/>
      <c r="M226" s="138"/>
      <c r="N226" s="138"/>
      <c r="O226" s="138"/>
      <c r="P226" s="138"/>
    </row>
    <row r="227">
      <c r="A227" s="138"/>
      <c r="B227" s="138"/>
      <c r="C227" s="138"/>
      <c r="D227" s="138"/>
      <c r="E227" s="138"/>
      <c r="F227" s="138"/>
      <c r="G227" s="138"/>
      <c r="H227" s="138"/>
      <c r="I227" s="138"/>
      <c r="J227" s="138"/>
      <c r="K227" s="138"/>
      <c r="L227" s="138"/>
      <c r="M227" s="138"/>
      <c r="N227" s="138"/>
      <c r="O227" s="138"/>
      <c r="P227" s="138"/>
    </row>
    <row r="228">
      <c r="A228" s="138"/>
      <c r="B228" s="138"/>
      <c r="C228" s="138"/>
      <c r="D228" s="138"/>
      <c r="E228" s="138"/>
      <c r="F228" s="138"/>
      <c r="G228" s="138"/>
      <c r="H228" s="138"/>
      <c r="I228" s="138"/>
      <c r="J228" s="138"/>
      <c r="K228" s="138"/>
      <c r="L228" s="138"/>
      <c r="M228" s="138"/>
      <c r="N228" s="138"/>
      <c r="O228" s="138"/>
      <c r="P228" s="138"/>
    </row>
    <row r="229">
      <c r="A229" s="138"/>
      <c r="B229" s="138"/>
      <c r="C229" s="138"/>
      <c r="D229" s="138"/>
      <c r="E229" s="138"/>
      <c r="F229" s="138"/>
      <c r="G229" s="138"/>
      <c r="H229" s="138"/>
      <c r="I229" s="138"/>
      <c r="J229" s="138"/>
      <c r="K229" s="138"/>
      <c r="L229" s="138"/>
      <c r="M229" s="138"/>
      <c r="N229" s="138"/>
      <c r="O229" s="138"/>
      <c r="P229" s="138"/>
    </row>
    <row r="230">
      <c r="A230" s="138"/>
      <c r="B230" s="138"/>
      <c r="C230" s="138"/>
      <c r="D230" s="138"/>
      <c r="E230" s="138"/>
      <c r="F230" s="138"/>
      <c r="G230" s="138"/>
      <c r="H230" s="138"/>
      <c r="I230" s="138"/>
      <c r="J230" s="138"/>
      <c r="K230" s="138"/>
      <c r="L230" s="138"/>
      <c r="M230" s="138"/>
      <c r="N230" s="138"/>
      <c r="O230" s="138"/>
      <c r="P230" s="138"/>
    </row>
    <row r="231">
      <c r="A231" s="138"/>
      <c r="B231" s="138"/>
      <c r="C231" s="138"/>
      <c r="D231" s="138"/>
      <c r="E231" s="138"/>
      <c r="F231" s="138"/>
      <c r="G231" s="138"/>
      <c r="H231" s="138"/>
      <c r="I231" s="138"/>
      <c r="J231" s="138"/>
      <c r="K231" s="138"/>
      <c r="L231" s="138"/>
      <c r="M231" s="138"/>
      <c r="N231" s="138"/>
      <c r="O231" s="138"/>
      <c r="P231" s="138"/>
    </row>
    <row r="232">
      <c r="A232" s="138"/>
      <c r="B232" s="138"/>
      <c r="C232" s="138"/>
      <c r="D232" s="138"/>
      <c r="E232" s="138"/>
      <c r="F232" s="138"/>
      <c r="G232" s="138"/>
      <c r="H232" s="138"/>
      <c r="I232" s="138"/>
      <c r="J232" s="138"/>
      <c r="K232" s="138"/>
      <c r="L232" s="138"/>
      <c r="M232" s="138"/>
      <c r="N232" s="138"/>
      <c r="O232" s="138"/>
      <c r="P232" s="138"/>
    </row>
    <row r="233">
      <c r="A233" s="138"/>
      <c r="B233" s="138"/>
      <c r="C233" s="138"/>
      <c r="D233" s="138"/>
      <c r="E233" s="138"/>
      <c r="F233" s="138"/>
      <c r="G233" s="138"/>
      <c r="H233" s="138"/>
      <c r="I233" s="138"/>
      <c r="J233" s="138"/>
      <c r="K233" s="138"/>
      <c r="L233" s="138"/>
      <c r="M233" s="138"/>
      <c r="N233" s="138"/>
      <c r="O233" s="138"/>
      <c r="P233" s="138"/>
    </row>
    <row r="234">
      <c r="A234" s="138"/>
      <c r="B234" s="138"/>
      <c r="C234" s="138"/>
      <c r="D234" s="138"/>
      <c r="E234" s="138"/>
      <c r="F234" s="138"/>
      <c r="G234" s="138"/>
      <c r="H234" s="138"/>
      <c r="I234" s="138"/>
      <c r="J234" s="138"/>
      <c r="K234" s="138"/>
      <c r="L234" s="138"/>
      <c r="M234" s="138"/>
      <c r="N234" s="138"/>
      <c r="O234" s="138"/>
      <c r="P234" s="138"/>
    </row>
    <row r="235">
      <c r="A235" s="138"/>
      <c r="B235" s="138"/>
      <c r="C235" s="138"/>
      <c r="D235" s="138"/>
      <c r="E235" s="138"/>
      <c r="F235" s="138"/>
      <c r="G235" s="138"/>
      <c r="H235" s="138"/>
      <c r="I235" s="138"/>
      <c r="J235" s="138"/>
      <c r="K235" s="138"/>
      <c r="L235" s="138"/>
      <c r="M235" s="138"/>
      <c r="N235" s="138"/>
      <c r="O235" s="138"/>
      <c r="P235" s="138"/>
    </row>
    <row r="236">
      <c r="A236" s="138"/>
      <c r="B236" s="138"/>
      <c r="C236" s="138"/>
      <c r="D236" s="138"/>
      <c r="E236" s="138"/>
      <c r="F236" s="138"/>
      <c r="G236" s="138"/>
      <c r="H236" s="138"/>
      <c r="I236" s="138"/>
      <c r="J236" s="138"/>
      <c r="K236" s="138"/>
      <c r="L236" s="138"/>
      <c r="M236" s="138"/>
      <c r="N236" s="138"/>
      <c r="O236" s="138"/>
      <c r="P236" s="138"/>
    </row>
    <row r="237">
      <c r="A237" s="138"/>
      <c r="B237" s="138"/>
      <c r="C237" s="138"/>
      <c r="D237" s="138"/>
      <c r="E237" s="138"/>
      <c r="F237" s="138"/>
      <c r="G237" s="138"/>
      <c r="H237" s="138"/>
      <c r="I237" s="138"/>
      <c r="J237" s="138"/>
      <c r="K237" s="138"/>
      <c r="L237" s="138"/>
      <c r="M237" s="138"/>
      <c r="N237" s="138"/>
      <c r="O237" s="138"/>
      <c r="P237" s="138"/>
    </row>
    <row r="238">
      <c r="A238" s="138"/>
      <c r="B238" s="138"/>
      <c r="C238" s="138"/>
      <c r="D238" s="138"/>
      <c r="E238" s="138"/>
      <c r="F238" s="138"/>
      <c r="G238" s="138"/>
      <c r="H238" s="138"/>
      <c r="I238" s="138"/>
      <c r="J238" s="138"/>
      <c r="K238" s="138"/>
      <c r="L238" s="138"/>
      <c r="M238" s="138"/>
      <c r="N238" s="138"/>
      <c r="O238" s="138"/>
      <c r="P238" s="138"/>
    </row>
    <row r="239">
      <c r="A239" s="138"/>
      <c r="B239" s="138"/>
      <c r="C239" s="138"/>
      <c r="D239" s="138"/>
      <c r="E239" s="138"/>
      <c r="F239" s="138"/>
      <c r="G239" s="138"/>
      <c r="H239" s="138"/>
      <c r="I239" s="138"/>
      <c r="J239" s="138"/>
      <c r="K239" s="138"/>
      <c r="L239" s="138"/>
      <c r="M239" s="138"/>
      <c r="N239" s="138"/>
      <c r="O239" s="138"/>
      <c r="P239" s="138"/>
    </row>
    <row r="240">
      <c r="A240" s="138"/>
      <c r="B240" s="138"/>
      <c r="C240" s="138"/>
      <c r="D240" s="138"/>
      <c r="E240" s="138"/>
      <c r="F240" s="138"/>
      <c r="G240" s="138"/>
      <c r="H240" s="138"/>
      <c r="I240" s="138"/>
      <c r="J240" s="138"/>
      <c r="K240" s="138"/>
      <c r="L240" s="138"/>
      <c r="M240" s="138"/>
      <c r="N240" s="138"/>
      <c r="O240" s="138"/>
      <c r="P240" s="138"/>
    </row>
    <row r="241">
      <c r="A241" s="138"/>
      <c r="B241" s="138"/>
      <c r="C241" s="138"/>
      <c r="D241" s="138"/>
      <c r="E241" s="138"/>
      <c r="F241" s="138"/>
      <c r="G241" s="138"/>
      <c r="H241" s="138"/>
      <c r="I241" s="138"/>
      <c r="J241" s="138"/>
      <c r="K241" s="138"/>
      <c r="L241" s="138"/>
      <c r="M241" s="138"/>
      <c r="N241" s="138"/>
      <c r="O241" s="138"/>
      <c r="P241" s="138"/>
    </row>
    <row r="242">
      <c r="A242" s="138"/>
      <c r="B242" s="138"/>
      <c r="C242" s="138"/>
      <c r="D242" s="138"/>
      <c r="E242" s="138"/>
      <c r="F242" s="138"/>
      <c r="G242" s="138"/>
      <c r="H242" s="138"/>
      <c r="I242" s="138"/>
      <c r="J242" s="138"/>
      <c r="K242" s="138"/>
      <c r="L242" s="138"/>
      <c r="M242" s="138"/>
      <c r="N242" s="138"/>
      <c r="O242" s="138"/>
      <c r="P242" s="138"/>
    </row>
    <row r="243">
      <c r="A243" s="138"/>
      <c r="B243" s="138"/>
      <c r="C243" s="138"/>
      <c r="D243" s="138"/>
      <c r="E243" s="138"/>
      <c r="F243" s="138"/>
      <c r="G243" s="138"/>
      <c r="H243" s="138"/>
      <c r="I243" s="138"/>
      <c r="J243" s="138"/>
      <c r="K243" s="138"/>
      <c r="L243" s="138"/>
      <c r="M243" s="138"/>
      <c r="N243" s="138"/>
      <c r="O243" s="138"/>
      <c r="P243" s="138"/>
    </row>
    <row r="244">
      <c r="A244" s="138"/>
      <c r="B244" s="138"/>
      <c r="C244" s="138"/>
      <c r="D244" s="138"/>
      <c r="E244" s="138"/>
      <c r="F244" s="138"/>
      <c r="G244" s="138"/>
      <c r="H244" s="138"/>
      <c r="I244" s="138"/>
      <c r="J244" s="138"/>
      <c r="K244" s="138"/>
      <c r="L244" s="138"/>
      <c r="M244" s="138"/>
      <c r="N244" s="138"/>
      <c r="O244" s="138"/>
      <c r="P244" s="138"/>
    </row>
    <row r="245">
      <c r="A245" s="138"/>
      <c r="B245" s="138"/>
      <c r="C245" s="138"/>
      <c r="D245" s="138"/>
      <c r="E245" s="138"/>
      <c r="F245" s="138"/>
      <c r="G245" s="138"/>
      <c r="H245" s="138"/>
      <c r="I245" s="138"/>
      <c r="J245" s="138"/>
      <c r="K245" s="138"/>
      <c r="L245" s="138"/>
      <c r="M245" s="138"/>
      <c r="N245" s="138"/>
      <c r="O245" s="138"/>
      <c r="P245" s="138"/>
    </row>
    <row r="246">
      <c r="A246" s="138"/>
      <c r="B246" s="138"/>
      <c r="C246" s="138"/>
      <c r="D246" s="138"/>
      <c r="E246" s="138"/>
      <c r="F246" s="138"/>
      <c r="G246" s="138"/>
      <c r="H246" s="138"/>
      <c r="I246" s="138"/>
      <c r="J246" s="138"/>
      <c r="K246" s="138"/>
      <c r="L246" s="138"/>
      <c r="M246" s="138"/>
      <c r="N246" s="138"/>
      <c r="O246" s="138"/>
      <c r="P246" s="138"/>
    </row>
    <row r="247">
      <c r="A247" s="138"/>
      <c r="B247" s="138"/>
      <c r="C247" s="138"/>
      <c r="D247" s="138"/>
      <c r="E247" s="138"/>
      <c r="F247" s="138"/>
      <c r="G247" s="138"/>
      <c r="H247" s="138"/>
      <c r="I247" s="138"/>
      <c r="J247" s="138"/>
      <c r="K247" s="138"/>
      <c r="L247" s="138"/>
      <c r="M247" s="138"/>
      <c r="N247" s="138"/>
      <c r="O247" s="138"/>
      <c r="P247" s="138"/>
    </row>
    <row r="248">
      <c r="A248" s="138"/>
      <c r="B248" s="138"/>
      <c r="C248" s="138"/>
      <c r="D248" s="138"/>
      <c r="E248" s="138"/>
      <c r="F248" s="138"/>
      <c r="G248" s="138"/>
      <c r="H248" s="138"/>
      <c r="I248" s="138"/>
      <c r="J248" s="138"/>
      <c r="K248" s="138"/>
      <c r="L248" s="138"/>
      <c r="M248" s="138"/>
      <c r="N248" s="138"/>
      <c r="O248" s="138"/>
      <c r="P248" s="138"/>
    </row>
    <row r="249">
      <c r="A249" s="138"/>
      <c r="B249" s="138"/>
      <c r="C249" s="138"/>
      <c r="D249" s="138"/>
      <c r="E249" s="138"/>
      <c r="F249" s="138"/>
      <c r="G249" s="138"/>
      <c r="H249" s="138"/>
      <c r="I249" s="138"/>
      <c r="J249" s="138"/>
      <c r="K249" s="138"/>
      <c r="L249" s="138"/>
      <c r="M249" s="138"/>
      <c r="N249" s="138"/>
      <c r="O249" s="138"/>
      <c r="P249" s="138"/>
    </row>
    <row r="250">
      <c r="A250" s="138"/>
      <c r="B250" s="138"/>
      <c r="C250" s="138"/>
      <c r="D250" s="138"/>
      <c r="E250" s="138"/>
      <c r="F250" s="138"/>
      <c r="G250" s="138"/>
      <c r="H250" s="138"/>
      <c r="I250" s="138"/>
      <c r="J250" s="138"/>
      <c r="K250" s="138"/>
      <c r="L250" s="138"/>
      <c r="M250" s="138"/>
      <c r="N250" s="138"/>
      <c r="O250" s="138"/>
      <c r="P250" s="138"/>
    </row>
    <row r="251">
      <c r="A251" s="138"/>
      <c r="B251" s="138"/>
      <c r="C251" s="138"/>
      <c r="D251" s="138"/>
      <c r="E251" s="138"/>
      <c r="F251" s="138"/>
      <c r="G251" s="138"/>
      <c r="H251" s="138"/>
      <c r="I251" s="138"/>
      <c r="J251" s="138"/>
      <c r="K251" s="138"/>
      <c r="L251" s="138"/>
      <c r="M251" s="138"/>
      <c r="N251" s="138"/>
      <c r="O251" s="138"/>
      <c r="P251" s="138"/>
    </row>
    <row r="252">
      <c r="A252" s="138"/>
      <c r="B252" s="138"/>
      <c r="C252" s="138"/>
      <c r="D252" s="138"/>
      <c r="E252" s="138"/>
      <c r="F252" s="138"/>
      <c r="G252" s="138"/>
      <c r="H252" s="138"/>
      <c r="I252" s="138"/>
      <c r="J252" s="138"/>
      <c r="K252" s="138"/>
      <c r="L252" s="138"/>
      <c r="M252" s="138"/>
      <c r="N252" s="138"/>
      <c r="O252" s="138"/>
      <c r="P252" s="138"/>
    </row>
    <row r="253">
      <c r="A253" s="138"/>
      <c r="B253" s="138"/>
      <c r="C253" s="138"/>
      <c r="D253" s="138"/>
      <c r="E253" s="138"/>
      <c r="F253" s="138"/>
      <c r="G253" s="138"/>
      <c r="H253" s="138"/>
      <c r="I253" s="138"/>
      <c r="J253" s="138"/>
      <c r="K253" s="138"/>
      <c r="L253" s="138"/>
      <c r="M253" s="138"/>
      <c r="N253" s="138"/>
      <c r="O253" s="138"/>
      <c r="P253" s="138"/>
    </row>
    <row r="254">
      <c r="A254" s="138"/>
      <c r="B254" s="138"/>
      <c r="C254" s="138"/>
      <c r="D254" s="138"/>
      <c r="E254" s="138"/>
      <c r="F254" s="138"/>
      <c r="G254" s="138"/>
      <c r="H254" s="138"/>
      <c r="I254" s="138"/>
      <c r="J254" s="138"/>
      <c r="K254" s="138"/>
      <c r="L254" s="138"/>
      <c r="M254" s="138"/>
      <c r="N254" s="138"/>
      <c r="O254" s="138"/>
      <c r="P254" s="138"/>
    </row>
    <row r="255">
      <c r="A255" s="138"/>
      <c r="B255" s="138"/>
      <c r="C255" s="138"/>
      <c r="D255" s="138"/>
      <c r="E255" s="138"/>
      <c r="F255" s="138"/>
      <c r="G255" s="138"/>
      <c r="H255" s="138"/>
      <c r="I255" s="138"/>
      <c r="J255" s="138"/>
      <c r="K255" s="138"/>
      <c r="L255" s="138"/>
      <c r="M255" s="138"/>
      <c r="N255" s="138"/>
      <c r="O255" s="138"/>
      <c r="P255" s="138"/>
    </row>
    <row r="256">
      <c r="A256" s="138"/>
      <c r="B256" s="138"/>
      <c r="C256" s="138"/>
      <c r="D256" s="138"/>
      <c r="E256" s="138"/>
      <c r="F256" s="138"/>
      <c r="G256" s="138"/>
      <c r="H256" s="138"/>
      <c r="I256" s="138"/>
      <c r="J256" s="138"/>
      <c r="K256" s="138"/>
      <c r="L256" s="138"/>
      <c r="M256" s="138"/>
      <c r="N256" s="138"/>
      <c r="O256" s="138"/>
      <c r="P256" s="138"/>
    </row>
    <row r="257">
      <c r="A257" s="138"/>
      <c r="B257" s="138"/>
      <c r="C257" s="138"/>
      <c r="D257" s="138"/>
      <c r="E257" s="138"/>
      <c r="F257" s="138"/>
      <c r="G257" s="138"/>
      <c r="H257" s="138"/>
      <c r="I257" s="138"/>
      <c r="J257" s="138"/>
      <c r="K257" s="138"/>
      <c r="L257" s="138"/>
      <c r="M257" s="138"/>
      <c r="N257" s="138"/>
      <c r="O257" s="138"/>
      <c r="P257" s="138"/>
    </row>
    <row r="258">
      <c r="A258" s="138"/>
      <c r="B258" s="138"/>
      <c r="C258" s="138"/>
      <c r="D258" s="138"/>
      <c r="E258" s="138"/>
      <c r="F258" s="138"/>
      <c r="G258" s="138"/>
      <c r="H258" s="138"/>
      <c r="I258" s="138"/>
      <c r="J258" s="138"/>
      <c r="K258" s="138"/>
      <c r="L258" s="138"/>
      <c r="M258" s="138"/>
      <c r="N258" s="138"/>
      <c r="O258" s="138"/>
      <c r="P258" s="138"/>
    </row>
    <row r="259">
      <c r="A259" s="138"/>
      <c r="B259" s="138"/>
      <c r="C259" s="138"/>
      <c r="D259" s="138"/>
      <c r="E259" s="138"/>
      <c r="F259" s="138"/>
      <c r="G259" s="138"/>
      <c r="H259" s="138"/>
      <c r="I259" s="138"/>
      <c r="J259" s="138"/>
      <c r="K259" s="138"/>
      <c r="L259" s="138"/>
      <c r="M259" s="138"/>
      <c r="N259" s="138"/>
      <c r="O259" s="138"/>
      <c r="P259" s="138"/>
    </row>
    <row r="260">
      <c r="A260" s="138"/>
      <c r="B260" s="138"/>
      <c r="C260" s="138"/>
      <c r="D260" s="138"/>
      <c r="E260" s="138"/>
      <c r="F260" s="138"/>
      <c r="G260" s="138"/>
      <c r="H260" s="138"/>
      <c r="I260" s="138"/>
      <c r="J260" s="138"/>
      <c r="K260" s="138"/>
      <c r="L260" s="138"/>
      <c r="M260" s="138"/>
      <c r="N260" s="138"/>
      <c r="O260" s="138"/>
      <c r="P260" s="138"/>
    </row>
    <row r="261">
      <c r="A261" s="138"/>
      <c r="B261" s="138"/>
      <c r="C261" s="138"/>
      <c r="D261" s="138"/>
      <c r="E261" s="138"/>
      <c r="F261" s="138"/>
      <c r="G261" s="138"/>
      <c r="H261" s="138"/>
      <c r="I261" s="138"/>
      <c r="J261" s="138"/>
      <c r="K261" s="138"/>
      <c r="L261" s="138"/>
      <c r="M261" s="138"/>
      <c r="N261" s="138"/>
      <c r="O261" s="138"/>
      <c r="P261" s="138"/>
    </row>
    <row r="262">
      <c r="A262" s="138"/>
      <c r="B262" s="138"/>
      <c r="C262" s="138"/>
      <c r="D262" s="138"/>
      <c r="E262" s="138"/>
      <c r="F262" s="138"/>
      <c r="G262" s="138"/>
      <c r="H262" s="138"/>
      <c r="I262" s="138"/>
      <c r="J262" s="138"/>
      <c r="K262" s="138"/>
      <c r="L262" s="138"/>
      <c r="M262" s="138"/>
      <c r="N262" s="138"/>
      <c r="O262" s="138"/>
      <c r="P262" s="138"/>
    </row>
    <row r="263">
      <c r="A263" s="138"/>
      <c r="B263" s="138"/>
      <c r="C263" s="138"/>
      <c r="D263" s="138"/>
      <c r="E263" s="138"/>
      <c r="F263" s="138"/>
      <c r="G263" s="138"/>
      <c r="H263" s="138"/>
      <c r="I263" s="138"/>
      <c r="J263" s="138"/>
      <c r="K263" s="138"/>
      <c r="L263" s="138"/>
      <c r="M263" s="138"/>
      <c r="N263" s="138"/>
      <c r="O263" s="138"/>
      <c r="P263" s="138"/>
    </row>
    <row r="264">
      <c r="A264" s="138"/>
      <c r="B264" s="138"/>
      <c r="C264" s="138"/>
      <c r="D264" s="138"/>
      <c r="E264" s="138"/>
      <c r="F264" s="138"/>
      <c r="G264" s="138"/>
      <c r="H264" s="138"/>
      <c r="I264" s="138"/>
      <c r="J264" s="138"/>
      <c r="K264" s="138"/>
      <c r="L264" s="138"/>
      <c r="M264" s="138"/>
      <c r="N264" s="138"/>
      <c r="O264" s="138"/>
      <c r="P264" s="138"/>
    </row>
    <row r="265">
      <c r="A265" s="138"/>
      <c r="B265" s="138"/>
      <c r="C265" s="138"/>
      <c r="D265" s="138"/>
      <c r="E265" s="138"/>
      <c r="F265" s="138"/>
      <c r="G265" s="138"/>
      <c r="H265" s="138"/>
      <c r="I265" s="138"/>
      <c r="J265" s="138"/>
      <c r="K265" s="138"/>
      <c r="L265" s="138"/>
      <c r="M265" s="138"/>
      <c r="N265" s="138"/>
      <c r="O265" s="138"/>
      <c r="P265" s="138"/>
    </row>
    <row r="266">
      <c r="A266" s="138"/>
      <c r="B266" s="138"/>
      <c r="C266" s="138"/>
      <c r="D266" s="138"/>
      <c r="E266" s="138"/>
      <c r="F266" s="138"/>
      <c r="G266" s="138"/>
      <c r="H266" s="138"/>
      <c r="I266" s="138"/>
      <c r="J266" s="138"/>
      <c r="K266" s="138"/>
      <c r="L266" s="138"/>
      <c r="M266" s="138"/>
      <c r="N266" s="138"/>
      <c r="O266" s="138"/>
      <c r="P266" s="138"/>
    </row>
    <row r="267">
      <c r="A267" s="138"/>
      <c r="B267" s="138"/>
      <c r="C267" s="138"/>
      <c r="D267" s="138"/>
      <c r="E267" s="138"/>
      <c r="F267" s="138"/>
      <c r="G267" s="138"/>
      <c r="H267" s="138"/>
      <c r="I267" s="138"/>
      <c r="J267" s="138"/>
      <c r="K267" s="138"/>
      <c r="L267" s="138"/>
      <c r="M267" s="138"/>
      <c r="N267" s="138"/>
      <c r="O267" s="138"/>
      <c r="P267" s="138"/>
    </row>
    <row r="268">
      <c r="A268" s="138"/>
      <c r="B268" s="138"/>
      <c r="C268" s="138"/>
      <c r="D268" s="138"/>
      <c r="E268" s="138"/>
      <c r="F268" s="138"/>
      <c r="G268" s="138"/>
      <c r="H268" s="138"/>
      <c r="I268" s="138"/>
      <c r="J268" s="138"/>
      <c r="K268" s="138"/>
      <c r="L268" s="138"/>
      <c r="M268" s="138"/>
      <c r="N268" s="138"/>
      <c r="O268" s="138"/>
      <c r="P268" s="138"/>
    </row>
    <row r="269">
      <c r="A269" s="138"/>
      <c r="B269" s="138"/>
      <c r="C269" s="138"/>
      <c r="D269" s="138"/>
      <c r="E269" s="138"/>
      <c r="F269" s="138"/>
      <c r="G269" s="138"/>
      <c r="H269" s="138"/>
      <c r="I269" s="138"/>
      <c r="J269" s="138"/>
      <c r="K269" s="138"/>
      <c r="L269" s="138"/>
      <c r="M269" s="138"/>
      <c r="N269" s="138"/>
      <c r="O269" s="138"/>
      <c r="P269" s="138"/>
    </row>
    <row r="270">
      <c r="A270" s="138"/>
      <c r="B270" s="138"/>
      <c r="C270" s="138"/>
      <c r="D270" s="138"/>
      <c r="E270" s="138"/>
      <c r="F270" s="138"/>
      <c r="G270" s="138"/>
      <c r="H270" s="138"/>
      <c r="I270" s="138"/>
      <c r="J270" s="138"/>
      <c r="K270" s="138"/>
      <c r="L270" s="138"/>
      <c r="M270" s="138"/>
      <c r="N270" s="138"/>
      <c r="O270" s="138"/>
      <c r="P270" s="138"/>
    </row>
    <row r="271">
      <c r="A271" s="138"/>
      <c r="B271" s="138"/>
      <c r="C271" s="138"/>
      <c r="D271" s="138"/>
      <c r="E271" s="138"/>
      <c r="F271" s="138"/>
      <c r="G271" s="138"/>
      <c r="H271" s="138"/>
      <c r="I271" s="138"/>
      <c r="J271" s="138"/>
      <c r="K271" s="138"/>
      <c r="L271" s="138"/>
      <c r="M271" s="138"/>
      <c r="N271" s="138"/>
      <c r="O271" s="138"/>
      <c r="P271" s="138"/>
    </row>
    <row r="272">
      <c r="A272" s="138"/>
      <c r="B272" s="138"/>
      <c r="C272" s="138"/>
      <c r="D272" s="138"/>
      <c r="E272" s="138"/>
      <c r="F272" s="138"/>
      <c r="G272" s="138"/>
      <c r="H272" s="138"/>
      <c r="I272" s="138"/>
      <c r="J272" s="138"/>
      <c r="K272" s="138"/>
      <c r="L272" s="138"/>
      <c r="M272" s="138"/>
      <c r="N272" s="138"/>
      <c r="O272" s="138"/>
      <c r="P272" s="138"/>
    </row>
    <row r="273">
      <c r="A273" s="138"/>
      <c r="B273" s="138"/>
      <c r="C273" s="138"/>
      <c r="D273" s="138"/>
      <c r="E273" s="138"/>
      <c r="F273" s="138"/>
      <c r="G273" s="138"/>
      <c r="H273" s="138"/>
      <c r="I273" s="138"/>
      <c r="J273" s="138"/>
      <c r="K273" s="138"/>
      <c r="L273" s="138"/>
      <c r="M273" s="138"/>
      <c r="N273" s="138"/>
      <c r="O273" s="138"/>
      <c r="P273" s="138"/>
    </row>
    <row r="274">
      <c r="A274" s="138"/>
      <c r="B274" s="138"/>
      <c r="C274" s="138"/>
      <c r="D274" s="138"/>
      <c r="E274" s="138"/>
      <c r="F274" s="138"/>
      <c r="G274" s="138"/>
      <c r="H274" s="138"/>
      <c r="I274" s="138"/>
      <c r="J274" s="138"/>
      <c r="K274" s="138"/>
      <c r="L274" s="138"/>
      <c r="M274" s="138"/>
      <c r="N274" s="138"/>
      <c r="O274" s="138"/>
      <c r="P274" s="138"/>
    </row>
    <row r="275">
      <c r="A275" s="138"/>
      <c r="B275" s="138"/>
      <c r="C275" s="138"/>
      <c r="D275" s="138"/>
      <c r="E275" s="138"/>
      <c r="F275" s="138"/>
      <c r="G275" s="138"/>
      <c r="H275" s="138"/>
      <c r="I275" s="138"/>
      <c r="J275" s="138"/>
      <c r="K275" s="138"/>
      <c r="L275" s="138"/>
      <c r="M275" s="138"/>
      <c r="N275" s="138"/>
      <c r="O275" s="138"/>
      <c r="P275" s="138"/>
    </row>
    <row r="276">
      <c r="A276" s="138"/>
      <c r="B276" s="138"/>
      <c r="C276" s="138"/>
      <c r="D276" s="138"/>
      <c r="E276" s="138"/>
      <c r="F276" s="138"/>
      <c r="G276" s="138"/>
      <c r="H276" s="138"/>
      <c r="I276" s="138"/>
      <c r="J276" s="138"/>
      <c r="K276" s="138"/>
      <c r="L276" s="138"/>
      <c r="M276" s="138"/>
      <c r="N276" s="138"/>
      <c r="O276" s="138"/>
      <c r="P276" s="138"/>
    </row>
    <row r="277">
      <c r="A277" s="138"/>
      <c r="B277" s="138"/>
      <c r="C277" s="138"/>
      <c r="D277" s="138"/>
      <c r="E277" s="138"/>
      <c r="F277" s="138"/>
      <c r="G277" s="138"/>
      <c r="H277" s="138"/>
      <c r="I277" s="138"/>
      <c r="J277" s="138"/>
      <c r="K277" s="138"/>
      <c r="L277" s="138"/>
      <c r="M277" s="138"/>
      <c r="N277" s="138"/>
      <c r="O277" s="138"/>
      <c r="P277" s="138"/>
    </row>
    <row r="278">
      <c r="A278" s="138"/>
      <c r="B278" s="138"/>
      <c r="C278" s="138"/>
      <c r="D278" s="138"/>
      <c r="E278" s="138"/>
      <c r="F278" s="138"/>
      <c r="G278" s="138"/>
      <c r="H278" s="138"/>
      <c r="I278" s="138"/>
      <c r="J278" s="138"/>
      <c r="K278" s="138"/>
      <c r="L278" s="138"/>
      <c r="M278" s="138"/>
      <c r="N278" s="138"/>
      <c r="O278" s="138"/>
      <c r="P278" s="138"/>
    </row>
    <row r="279">
      <c r="A279" s="138"/>
      <c r="B279" s="138"/>
      <c r="C279" s="138"/>
      <c r="D279" s="138"/>
      <c r="E279" s="138"/>
      <c r="F279" s="138"/>
      <c r="G279" s="138"/>
      <c r="H279" s="138"/>
      <c r="I279" s="138"/>
      <c r="J279" s="138"/>
      <c r="K279" s="138"/>
      <c r="L279" s="138"/>
      <c r="M279" s="138"/>
      <c r="N279" s="138"/>
      <c r="O279" s="138"/>
      <c r="P279" s="138"/>
    </row>
    <row r="280">
      <c r="A280" s="138"/>
      <c r="B280" s="138"/>
      <c r="C280" s="138"/>
      <c r="D280" s="138"/>
      <c r="E280" s="138"/>
      <c r="F280" s="138"/>
      <c r="G280" s="138"/>
      <c r="H280" s="138"/>
      <c r="I280" s="138"/>
      <c r="J280" s="138"/>
      <c r="K280" s="138"/>
      <c r="L280" s="138"/>
      <c r="M280" s="138"/>
      <c r="N280" s="138"/>
      <c r="O280" s="138"/>
      <c r="P280" s="138"/>
    </row>
    <row r="281">
      <c r="A281" s="138"/>
      <c r="B281" s="138"/>
      <c r="C281" s="138"/>
      <c r="D281" s="138"/>
      <c r="E281" s="138"/>
      <c r="F281" s="138"/>
      <c r="G281" s="138"/>
      <c r="H281" s="138"/>
      <c r="I281" s="138"/>
      <c r="J281" s="138"/>
      <c r="K281" s="138"/>
      <c r="L281" s="138"/>
      <c r="M281" s="138"/>
      <c r="N281" s="138"/>
      <c r="O281" s="138"/>
      <c r="P281" s="138"/>
    </row>
    <row r="282">
      <c r="A282" s="138"/>
      <c r="B282" s="138"/>
      <c r="C282" s="138"/>
      <c r="D282" s="138"/>
      <c r="E282" s="138"/>
      <c r="F282" s="138"/>
      <c r="G282" s="138"/>
      <c r="H282" s="138"/>
      <c r="I282" s="138"/>
      <c r="J282" s="138"/>
      <c r="K282" s="138"/>
      <c r="L282" s="138"/>
      <c r="M282" s="138"/>
      <c r="N282" s="138"/>
      <c r="O282" s="138"/>
      <c r="P282" s="138"/>
    </row>
    <row r="283">
      <c r="A283" s="138"/>
      <c r="B283" s="138"/>
      <c r="C283" s="138"/>
      <c r="D283" s="138"/>
      <c r="E283" s="138"/>
      <c r="F283" s="138"/>
      <c r="G283" s="138"/>
      <c r="H283" s="138"/>
      <c r="I283" s="138"/>
      <c r="J283" s="138"/>
      <c r="K283" s="138"/>
      <c r="L283" s="138"/>
      <c r="M283" s="138"/>
      <c r="N283" s="138"/>
      <c r="O283" s="138"/>
      <c r="P283" s="138"/>
    </row>
    <row r="284">
      <c r="A284" s="138"/>
      <c r="B284" s="138"/>
      <c r="C284" s="138"/>
      <c r="D284" s="138"/>
      <c r="E284" s="138"/>
      <c r="F284" s="138"/>
      <c r="G284" s="138"/>
      <c r="H284" s="138"/>
      <c r="I284" s="138"/>
      <c r="J284" s="138"/>
      <c r="K284" s="138"/>
      <c r="L284" s="138"/>
      <c r="M284" s="138"/>
      <c r="N284" s="138"/>
      <c r="O284" s="138"/>
      <c r="P284" s="138"/>
    </row>
    <row r="285">
      <c r="A285" s="138"/>
      <c r="B285" s="138"/>
      <c r="C285" s="138"/>
      <c r="D285" s="138"/>
      <c r="E285" s="138"/>
      <c r="F285" s="138"/>
      <c r="G285" s="138"/>
      <c r="H285" s="138"/>
      <c r="I285" s="138"/>
      <c r="J285" s="138"/>
      <c r="K285" s="138"/>
      <c r="L285" s="138"/>
      <c r="M285" s="138"/>
      <c r="N285" s="138"/>
      <c r="O285" s="138"/>
      <c r="P285" s="138"/>
    </row>
    <row r="286">
      <c r="A286" s="138"/>
      <c r="B286" s="138"/>
      <c r="C286" s="138"/>
      <c r="D286" s="138"/>
      <c r="E286" s="138"/>
      <c r="F286" s="138"/>
      <c r="G286" s="138"/>
      <c r="H286" s="138"/>
      <c r="I286" s="138"/>
      <c r="J286" s="138"/>
      <c r="K286" s="138"/>
      <c r="L286" s="138"/>
      <c r="M286" s="138"/>
      <c r="N286" s="138"/>
      <c r="O286" s="138"/>
      <c r="P286" s="138"/>
    </row>
    <row r="287">
      <c r="A287" s="138"/>
      <c r="B287" s="138"/>
      <c r="C287" s="138"/>
      <c r="D287" s="138"/>
      <c r="E287" s="138"/>
      <c r="F287" s="138"/>
      <c r="G287" s="138"/>
      <c r="H287" s="138"/>
      <c r="I287" s="138"/>
      <c r="J287" s="138"/>
      <c r="K287" s="138"/>
      <c r="L287" s="138"/>
      <c r="M287" s="138"/>
      <c r="N287" s="138"/>
      <c r="O287" s="138"/>
      <c r="P287" s="138"/>
    </row>
    <row r="288">
      <c r="A288" s="138"/>
      <c r="B288" s="138"/>
      <c r="C288" s="138"/>
      <c r="D288" s="138"/>
      <c r="E288" s="138"/>
      <c r="F288" s="138"/>
      <c r="G288" s="138"/>
      <c r="H288" s="138"/>
      <c r="I288" s="138"/>
      <c r="J288" s="138"/>
      <c r="K288" s="138"/>
      <c r="L288" s="138"/>
      <c r="M288" s="138"/>
      <c r="N288" s="138"/>
      <c r="O288" s="138"/>
      <c r="P288" s="138"/>
    </row>
    <row r="289">
      <c r="A289" s="138"/>
      <c r="B289" s="138"/>
      <c r="C289" s="138"/>
      <c r="D289" s="138"/>
      <c r="E289" s="138"/>
      <c r="F289" s="138"/>
      <c r="G289" s="138"/>
      <c r="H289" s="138"/>
      <c r="I289" s="138"/>
      <c r="J289" s="138"/>
      <c r="K289" s="138"/>
      <c r="L289" s="138"/>
      <c r="M289" s="138"/>
      <c r="N289" s="138"/>
      <c r="O289" s="138"/>
      <c r="P289" s="138"/>
    </row>
    <row r="290">
      <c r="A290" s="138"/>
      <c r="B290" s="138"/>
      <c r="C290" s="138"/>
      <c r="D290" s="138"/>
      <c r="E290" s="138"/>
      <c r="F290" s="138"/>
      <c r="G290" s="138"/>
      <c r="H290" s="138"/>
      <c r="I290" s="138"/>
      <c r="J290" s="138"/>
      <c r="K290" s="138"/>
      <c r="L290" s="138"/>
      <c r="M290" s="138"/>
      <c r="N290" s="138"/>
      <c r="O290" s="138"/>
      <c r="P290" s="138"/>
    </row>
    <row r="291">
      <c r="A291" s="138"/>
      <c r="B291" s="138"/>
      <c r="C291" s="138"/>
      <c r="D291" s="138"/>
      <c r="E291" s="138"/>
      <c r="F291" s="138"/>
      <c r="G291" s="138"/>
      <c r="H291" s="138"/>
      <c r="I291" s="138"/>
      <c r="J291" s="138"/>
      <c r="K291" s="138"/>
      <c r="L291" s="138"/>
      <c r="M291" s="138"/>
      <c r="N291" s="138"/>
      <c r="O291" s="138"/>
      <c r="P291" s="138"/>
    </row>
    <row r="292">
      <c r="A292" s="138"/>
      <c r="B292" s="138"/>
      <c r="C292" s="138"/>
      <c r="D292" s="138"/>
      <c r="E292" s="138"/>
      <c r="F292" s="138"/>
      <c r="G292" s="138"/>
      <c r="H292" s="138"/>
      <c r="I292" s="138"/>
      <c r="J292" s="138"/>
      <c r="K292" s="138"/>
      <c r="L292" s="138"/>
      <c r="M292" s="138"/>
      <c r="N292" s="138"/>
      <c r="O292" s="138"/>
      <c r="P292" s="138"/>
    </row>
    <row r="293">
      <c r="A293" s="138"/>
      <c r="B293" s="138"/>
      <c r="C293" s="138"/>
      <c r="D293" s="138"/>
      <c r="E293" s="138"/>
      <c r="F293" s="138"/>
      <c r="G293" s="138"/>
      <c r="H293" s="138"/>
      <c r="I293" s="138"/>
      <c r="J293" s="138"/>
      <c r="K293" s="138"/>
      <c r="L293" s="138"/>
      <c r="M293" s="138"/>
      <c r="N293" s="138"/>
      <c r="O293" s="138"/>
      <c r="P293" s="138"/>
    </row>
    <row r="294">
      <c r="A294" s="138"/>
      <c r="B294" s="138"/>
      <c r="C294" s="138"/>
      <c r="D294" s="138"/>
      <c r="E294" s="138"/>
      <c r="F294" s="138"/>
      <c r="G294" s="138"/>
      <c r="H294" s="138"/>
      <c r="I294" s="138"/>
      <c r="J294" s="138"/>
      <c r="K294" s="138"/>
      <c r="L294" s="138"/>
      <c r="M294" s="138"/>
      <c r="N294" s="138"/>
      <c r="O294" s="138"/>
      <c r="P294" s="138"/>
    </row>
    <row r="295">
      <c r="A295" s="138"/>
      <c r="B295" s="138"/>
      <c r="C295" s="138"/>
      <c r="D295" s="138"/>
      <c r="E295" s="138"/>
      <c r="F295" s="138"/>
      <c r="G295" s="138"/>
      <c r="H295" s="138"/>
      <c r="I295" s="138"/>
      <c r="J295" s="138"/>
      <c r="K295" s="138"/>
      <c r="L295" s="138"/>
      <c r="M295" s="138"/>
      <c r="N295" s="138"/>
      <c r="O295" s="138"/>
      <c r="P295" s="138"/>
    </row>
    <row r="296">
      <c r="A296" s="138"/>
      <c r="B296" s="138"/>
      <c r="C296" s="138"/>
      <c r="D296" s="138"/>
      <c r="E296" s="138"/>
      <c r="F296" s="138"/>
      <c r="G296" s="138"/>
      <c r="H296" s="138"/>
      <c r="I296" s="138"/>
      <c r="J296" s="138"/>
      <c r="K296" s="138"/>
      <c r="L296" s="138"/>
      <c r="M296" s="138"/>
      <c r="N296" s="138"/>
      <c r="O296" s="138"/>
      <c r="P296" s="138"/>
    </row>
    <row r="297">
      <c r="A297" s="138"/>
      <c r="B297" s="138"/>
      <c r="C297" s="138"/>
      <c r="D297" s="138"/>
      <c r="E297" s="138"/>
      <c r="F297" s="138"/>
      <c r="G297" s="138"/>
      <c r="H297" s="138"/>
      <c r="I297" s="138"/>
      <c r="J297" s="138"/>
      <c r="K297" s="138"/>
      <c r="L297" s="138"/>
      <c r="M297" s="138"/>
      <c r="N297" s="138"/>
      <c r="O297" s="138"/>
      <c r="P297" s="138"/>
    </row>
    <row r="298">
      <c r="A298" s="138"/>
      <c r="B298" s="138"/>
      <c r="C298" s="138"/>
      <c r="D298" s="138"/>
      <c r="E298" s="138"/>
      <c r="F298" s="138"/>
      <c r="G298" s="138"/>
      <c r="H298" s="138"/>
      <c r="I298" s="138"/>
      <c r="J298" s="138"/>
      <c r="K298" s="138"/>
      <c r="L298" s="138"/>
      <c r="M298" s="138"/>
      <c r="N298" s="138"/>
      <c r="O298" s="138"/>
      <c r="P298" s="138"/>
    </row>
    <row r="299">
      <c r="A299" s="138"/>
      <c r="B299" s="138"/>
      <c r="C299" s="138"/>
      <c r="D299" s="138"/>
      <c r="E299" s="138"/>
      <c r="F299" s="138"/>
      <c r="G299" s="138"/>
      <c r="H299" s="138"/>
      <c r="I299" s="138"/>
      <c r="J299" s="138"/>
      <c r="K299" s="138"/>
      <c r="L299" s="138"/>
      <c r="M299" s="138"/>
      <c r="N299" s="138"/>
      <c r="O299" s="138"/>
      <c r="P299" s="138"/>
    </row>
    <row r="300">
      <c r="A300" s="138"/>
      <c r="B300" s="138"/>
      <c r="C300" s="138"/>
      <c r="D300" s="138"/>
      <c r="E300" s="138"/>
      <c r="F300" s="138"/>
      <c r="G300" s="138"/>
      <c r="H300" s="138"/>
      <c r="I300" s="138"/>
      <c r="J300" s="138"/>
      <c r="K300" s="138"/>
      <c r="L300" s="138"/>
      <c r="M300" s="138"/>
      <c r="N300" s="138"/>
      <c r="O300" s="138"/>
      <c r="P300" s="138"/>
    </row>
    <row r="301">
      <c r="A301" s="138"/>
      <c r="B301" s="138"/>
      <c r="C301" s="138"/>
      <c r="D301" s="138"/>
      <c r="E301" s="138"/>
      <c r="F301" s="138"/>
      <c r="G301" s="138"/>
      <c r="H301" s="138"/>
      <c r="I301" s="138"/>
      <c r="J301" s="138"/>
      <c r="K301" s="138"/>
      <c r="L301" s="138"/>
      <c r="M301" s="138"/>
      <c r="N301" s="138"/>
      <c r="O301" s="138"/>
      <c r="P301" s="138"/>
    </row>
    <row r="302">
      <c r="A302" s="138"/>
      <c r="B302" s="138"/>
      <c r="C302" s="138"/>
      <c r="D302" s="138"/>
      <c r="E302" s="138"/>
      <c r="F302" s="138"/>
      <c r="G302" s="138"/>
      <c r="H302" s="138"/>
      <c r="I302" s="138"/>
      <c r="J302" s="138"/>
      <c r="K302" s="138"/>
      <c r="L302" s="138"/>
      <c r="M302" s="138"/>
      <c r="N302" s="138"/>
      <c r="O302" s="138"/>
      <c r="P302" s="138"/>
    </row>
    <row r="303">
      <c r="A303" s="138"/>
      <c r="B303" s="138"/>
      <c r="C303" s="138"/>
      <c r="D303" s="138"/>
      <c r="E303" s="138"/>
      <c r="F303" s="138"/>
      <c r="G303" s="138"/>
      <c r="H303" s="138"/>
      <c r="I303" s="138"/>
      <c r="J303" s="138"/>
      <c r="K303" s="138"/>
      <c r="L303" s="138"/>
      <c r="M303" s="138"/>
      <c r="N303" s="138"/>
      <c r="O303" s="138"/>
      <c r="P303" s="138"/>
    </row>
    <row r="304">
      <c r="A304" s="138"/>
      <c r="B304" s="138"/>
      <c r="C304" s="138"/>
      <c r="D304" s="138"/>
      <c r="E304" s="138"/>
      <c r="F304" s="138"/>
      <c r="G304" s="138"/>
      <c r="H304" s="138"/>
      <c r="I304" s="138"/>
      <c r="J304" s="138"/>
      <c r="K304" s="138"/>
      <c r="L304" s="138"/>
      <c r="M304" s="138"/>
      <c r="N304" s="138"/>
      <c r="O304" s="138"/>
      <c r="P304" s="138"/>
    </row>
    <row r="305">
      <c r="A305" s="138"/>
      <c r="B305" s="138"/>
      <c r="C305" s="138"/>
      <c r="D305" s="138"/>
      <c r="E305" s="138"/>
      <c r="F305" s="138"/>
      <c r="G305" s="138"/>
      <c r="H305" s="138"/>
      <c r="I305" s="138"/>
      <c r="J305" s="138"/>
      <c r="K305" s="138"/>
      <c r="L305" s="138"/>
      <c r="M305" s="138"/>
      <c r="N305" s="138"/>
      <c r="O305" s="138"/>
      <c r="P305" s="138"/>
    </row>
    <row r="306">
      <c r="A306" s="138"/>
      <c r="B306" s="138"/>
      <c r="C306" s="138"/>
      <c r="D306" s="138"/>
      <c r="E306" s="138"/>
      <c r="F306" s="138"/>
      <c r="G306" s="138"/>
      <c r="H306" s="138"/>
      <c r="I306" s="138"/>
      <c r="J306" s="138"/>
      <c r="K306" s="138"/>
      <c r="L306" s="138"/>
      <c r="M306" s="138"/>
      <c r="N306" s="138"/>
      <c r="O306" s="138"/>
      <c r="P306" s="138"/>
    </row>
    <row r="307">
      <c r="A307" s="138"/>
      <c r="B307" s="138"/>
      <c r="C307" s="138"/>
      <c r="D307" s="138"/>
      <c r="E307" s="138"/>
      <c r="F307" s="138"/>
      <c r="G307" s="138"/>
      <c r="H307" s="138"/>
      <c r="I307" s="138"/>
      <c r="J307" s="138"/>
      <c r="K307" s="138"/>
      <c r="L307" s="138"/>
      <c r="M307" s="138"/>
      <c r="N307" s="138"/>
      <c r="O307" s="138"/>
      <c r="P307" s="138"/>
    </row>
    <row r="308">
      <c r="A308" s="138"/>
      <c r="B308" s="138"/>
      <c r="C308" s="138"/>
      <c r="D308" s="138"/>
      <c r="E308" s="138"/>
      <c r="F308" s="138"/>
      <c r="G308" s="138"/>
      <c r="H308" s="138"/>
      <c r="I308" s="138"/>
      <c r="J308" s="138"/>
      <c r="K308" s="138"/>
      <c r="L308" s="138"/>
      <c r="M308" s="138"/>
      <c r="N308" s="138"/>
      <c r="O308" s="138"/>
      <c r="P308" s="138"/>
    </row>
    <row r="309">
      <c r="A309" s="138"/>
      <c r="B309" s="138"/>
      <c r="C309" s="138"/>
      <c r="D309" s="138"/>
      <c r="E309" s="138"/>
      <c r="F309" s="138"/>
      <c r="G309" s="138"/>
      <c r="H309" s="138"/>
      <c r="I309" s="138"/>
      <c r="J309" s="138"/>
      <c r="K309" s="138"/>
      <c r="L309" s="138"/>
      <c r="M309" s="138"/>
      <c r="N309" s="138"/>
      <c r="O309" s="138"/>
      <c r="P309" s="138"/>
    </row>
    <row r="310">
      <c r="A310" s="138"/>
      <c r="B310" s="138"/>
      <c r="C310" s="138"/>
      <c r="D310" s="138"/>
      <c r="E310" s="138"/>
      <c r="F310" s="138"/>
      <c r="G310" s="138"/>
      <c r="H310" s="138"/>
      <c r="I310" s="138"/>
      <c r="J310" s="138"/>
      <c r="K310" s="138"/>
      <c r="L310" s="138"/>
      <c r="M310" s="138"/>
      <c r="N310" s="138"/>
      <c r="O310" s="138"/>
      <c r="P310" s="138"/>
    </row>
    <row r="311">
      <c r="A311" s="138"/>
      <c r="B311" s="138"/>
      <c r="C311" s="138"/>
      <c r="D311" s="138"/>
      <c r="E311" s="138"/>
      <c r="F311" s="138"/>
      <c r="G311" s="138"/>
      <c r="H311" s="138"/>
      <c r="I311" s="138"/>
      <c r="J311" s="138"/>
      <c r="K311" s="138"/>
      <c r="L311" s="138"/>
      <c r="M311" s="138"/>
      <c r="N311" s="138"/>
      <c r="O311" s="138"/>
      <c r="P311" s="138"/>
    </row>
    <row r="312">
      <c r="A312" s="138"/>
      <c r="B312" s="138"/>
      <c r="C312" s="138"/>
      <c r="D312" s="138"/>
      <c r="E312" s="138"/>
      <c r="F312" s="138"/>
      <c r="G312" s="138"/>
      <c r="H312" s="138"/>
      <c r="I312" s="138"/>
      <c r="J312" s="138"/>
      <c r="K312" s="138"/>
      <c r="L312" s="138"/>
      <c r="M312" s="138"/>
      <c r="N312" s="138"/>
      <c r="O312" s="138"/>
      <c r="P312" s="138"/>
    </row>
    <row r="313">
      <c r="A313" s="138"/>
      <c r="B313" s="138"/>
      <c r="C313" s="138"/>
      <c r="D313" s="138"/>
      <c r="E313" s="138"/>
      <c r="F313" s="138"/>
      <c r="G313" s="138"/>
      <c r="H313" s="138"/>
      <c r="I313" s="138"/>
      <c r="J313" s="138"/>
      <c r="K313" s="138"/>
      <c r="L313" s="138"/>
      <c r="M313" s="138"/>
      <c r="N313" s="138"/>
      <c r="O313" s="138"/>
      <c r="P313" s="138"/>
    </row>
    <row r="314">
      <c r="A314" s="138"/>
      <c r="B314" s="138"/>
      <c r="C314" s="138"/>
      <c r="D314" s="138"/>
      <c r="E314" s="138"/>
      <c r="F314" s="138"/>
      <c r="G314" s="138"/>
      <c r="H314" s="138"/>
      <c r="I314" s="138"/>
      <c r="J314" s="138"/>
      <c r="K314" s="138"/>
      <c r="L314" s="138"/>
      <c r="M314" s="138"/>
      <c r="N314" s="138"/>
      <c r="O314" s="138"/>
      <c r="P314" s="138"/>
    </row>
    <row r="315">
      <c r="A315" s="138"/>
      <c r="B315" s="138"/>
      <c r="C315" s="138"/>
      <c r="D315" s="138"/>
      <c r="E315" s="138"/>
      <c r="F315" s="138"/>
      <c r="G315" s="138"/>
      <c r="H315" s="138"/>
      <c r="I315" s="138"/>
      <c r="J315" s="138"/>
      <c r="K315" s="138"/>
      <c r="L315" s="138"/>
      <c r="M315" s="138"/>
      <c r="N315" s="138"/>
      <c r="O315" s="138"/>
      <c r="P315" s="138"/>
    </row>
    <row r="316">
      <c r="A316" s="138"/>
      <c r="B316" s="138"/>
      <c r="C316" s="138"/>
      <c r="D316" s="138"/>
      <c r="E316" s="138"/>
      <c r="F316" s="138"/>
      <c r="G316" s="138"/>
      <c r="H316" s="138"/>
      <c r="I316" s="138"/>
      <c r="J316" s="138"/>
      <c r="K316" s="138"/>
      <c r="L316" s="138"/>
      <c r="M316" s="138"/>
      <c r="N316" s="138"/>
      <c r="O316" s="138"/>
      <c r="P316" s="138"/>
    </row>
    <row r="317">
      <c r="A317" s="138"/>
      <c r="B317" s="138"/>
      <c r="C317" s="138"/>
      <c r="D317" s="138"/>
      <c r="E317" s="138"/>
      <c r="F317" s="138"/>
      <c r="G317" s="138"/>
      <c r="H317" s="138"/>
      <c r="I317" s="138"/>
      <c r="J317" s="138"/>
      <c r="K317" s="138"/>
      <c r="L317" s="138"/>
      <c r="M317" s="138"/>
      <c r="N317" s="138"/>
      <c r="O317" s="138"/>
      <c r="P317" s="138"/>
    </row>
    <row r="318">
      <c r="A318" s="138"/>
      <c r="B318" s="138"/>
      <c r="C318" s="138"/>
      <c r="D318" s="138"/>
      <c r="E318" s="138"/>
      <c r="F318" s="138"/>
      <c r="G318" s="138"/>
      <c r="H318" s="138"/>
      <c r="I318" s="138"/>
      <c r="J318" s="138"/>
      <c r="K318" s="138"/>
      <c r="L318" s="138"/>
      <c r="M318" s="138"/>
      <c r="N318" s="138"/>
      <c r="O318" s="138"/>
      <c r="P318" s="138"/>
    </row>
    <row r="319">
      <c r="A319" s="138"/>
      <c r="B319" s="138"/>
      <c r="C319" s="138"/>
      <c r="D319" s="138"/>
      <c r="E319" s="138"/>
      <c r="F319" s="138"/>
      <c r="G319" s="138"/>
      <c r="H319" s="138"/>
      <c r="I319" s="138"/>
      <c r="J319" s="138"/>
      <c r="K319" s="138"/>
      <c r="L319" s="138"/>
      <c r="M319" s="138"/>
      <c r="N319" s="138"/>
      <c r="O319" s="138"/>
      <c r="P319" s="138"/>
    </row>
    <row r="320">
      <c r="A320" s="138"/>
      <c r="B320" s="138"/>
      <c r="C320" s="138"/>
      <c r="D320" s="138"/>
      <c r="E320" s="138"/>
      <c r="F320" s="138"/>
      <c r="G320" s="138"/>
      <c r="H320" s="138"/>
      <c r="I320" s="138"/>
      <c r="J320" s="138"/>
      <c r="K320" s="138"/>
      <c r="L320" s="138"/>
      <c r="M320" s="138"/>
      <c r="N320" s="138"/>
      <c r="O320" s="138"/>
      <c r="P320" s="138"/>
    </row>
    <row r="321">
      <c r="A321" s="138"/>
      <c r="B321" s="138"/>
      <c r="C321" s="138"/>
      <c r="D321" s="138"/>
      <c r="E321" s="138"/>
      <c r="F321" s="138"/>
      <c r="G321" s="138"/>
      <c r="H321" s="138"/>
      <c r="I321" s="138"/>
      <c r="J321" s="138"/>
      <c r="K321" s="138"/>
      <c r="L321" s="138"/>
      <c r="M321" s="138"/>
      <c r="N321" s="138"/>
      <c r="O321" s="138"/>
      <c r="P321" s="138"/>
    </row>
    <row r="322">
      <c r="A322" s="138"/>
      <c r="B322" s="138"/>
      <c r="C322" s="138"/>
      <c r="D322" s="138"/>
      <c r="E322" s="138"/>
      <c r="F322" s="138"/>
      <c r="G322" s="138"/>
      <c r="H322" s="138"/>
      <c r="I322" s="138"/>
      <c r="J322" s="138"/>
      <c r="K322" s="138"/>
      <c r="L322" s="138"/>
      <c r="M322" s="138"/>
      <c r="N322" s="138"/>
      <c r="O322" s="138"/>
      <c r="P322" s="138"/>
    </row>
    <row r="323">
      <c r="A323" s="138"/>
      <c r="B323" s="138"/>
      <c r="C323" s="138"/>
      <c r="D323" s="138"/>
      <c r="E323" s="138"/>
      <c r="F323" s="138"/>
      <c r="G323" s="138"/>
      <c r="H323" s="138"/>
      <c r="I323" s="138"/>
      <c r="J323" s="138"/>
      <c r="K323" s="138"/>
      <c r="L323" s="138"/>
      <c r="M323" s="138"/>
      <c r="N323" s="138"/>
      <c r="O323" s="138"/>
      <c r="P323" s="138"/>
    </row>
    <row r="324">
      <c r="A324" s="138"/>
      <c r="B324" s="138"/>
      <c r="C324" s="138"/>
      <c r="D324" s="138"/>
      <c r="E324" s="138"/>
      <c r="F324" s="138"/>
      <c r="G324" s="138"/>
      <c r="H324" s="138"/>
      <c r="I324" s="138"/>
      <c r="J324" s="138"/>
      <c r="K324" s="138"/>
      <c r="L324" s="138"/>
      <c r="M324" s="138"/>
      <c r="N324" s="138"/>
      <c r="O324" s="138"/>
      <c r="P324" s="138"/>
    </row>
    <row r="325">
      <c r="A325" s="138"/>
      <c r="B325" s="138"/>
      <c r="C325" s="138"/>
      <c r="D325" s="138"/>
      <c r="E325" s="138"/>
      <c r="F325" s="138"/>
      <c r="G325" s="138"/>
      <c r="H325" s="138"/>
      <c r="I325" s="138"/>
      <c r="J325" s="138"/>
      <c r="K325" s="138"/>
      <c r="L325" s="138"/>
      <c r="M325" s="138"/>
      <c r="N325" s="138"/>
      <c r="O325" s="138"/>
      <c r="P325" s="138"/>
    </row>
    <row r="326">
      <c r="A326" s="138"/>
      <c r="B326" s="138"/>
      <c r="C326" s="138"/>
      <c r="D326" s="138"/>
      <c r="E326" s="138"/>
      <c r="F326" s="138"/>
      <c r="G326" s="138"/>
      <c r="H326" s="138"/>
      <c r="I326" s="138"/>
      <c r="J326" s="138"/>
      <c r="K326" s="138"/>
      <c r="L326" s="138"/>
      <c r="M326" s="138"/>
      <c r="N326" s="138"/>
      <c r="O326" s="138"/>
      <c r="P326" s="138"/>
    </row>
    <row r="327">
      <c r="A327" s="138"/>
      <c r="B327" s="138"/>
      <c r="C327" s="138"/>
      <c r="D327" s="138"/>
      <c r="E327" s="138"/>
      <c r="F327" s="138"/>
      <c r="G327" s="138"/>
      <c r="H327" s="138"/>
      <c r="I327" s="138"/>
      <c r="J327" s="138"/>
      <c r="K327" s="138"/>
      <c r="L327" s="138"/>
      <c r="M327" s="138"/>
      <c r="N327" s="138"/>
      <c r="O327" s="138"/>
      <c r="P327" s="138"/>
    </row>
    <row r="328">
      <c r="A328" s="138"/>
      <c r="B328" s="138"/>
      <c r="C328" s="138"/>
      <c r="D328" s="138"/>
      <c r="E328" s="138"/>
      <c r="F328" s="138"/>
      <c r="G328" s="138"/>
      <c r="H328" s="138"/>
      <c r="I328" s="138"/>
      <c r="J328" s="138"/>
      <c r="K328" s="138"/>
      <c r="L328" s="138"/>
      <c r="M328" s="138"/>
      <c r="N328" s="138"/>
      <c r="O328" s="138"/>
      <c r="P328" s="138"/>
    </row>
    <row r="329">
      <c r="A329" s="138"/>
      <c r="B329" s="138"/>
      <c r="C329" s="138"/>
      <c r="D329" s="138"/>
      <c r="E329" s="138"/>
      <c r="F329" s="138"/>
      <c r="G329" s="138"/>
      <c r="H329" s="138"/>
      <c r="I329" s="138"/>
      <c r="J329" s="138"/>
      <c r="K329" s="138"/>
      <c r="L329" s="138"/>
      <c r="M329" s="138"/>
      <c r="N329" s="138"/>
      <c r="O329" s="138"/>
      <c r="P329" s="138"/>
    </row>
    <row r="330">
      <c r="A330" s="138"/>
      <c r="B330" s="138"/>
      <c r="C330" s="138"/>
      <c r="D330" s="138"/>
      <c r="E330" s="138"/>
      <c r="F330" s="138"/>
      <c r="G330" s="138"/>
      <c r="H330" s="138"/>
      <c r="I330" s="138"/>
      <c r="J330" s="138"/>
      <c r="K330" s="138"/>
      <c r="L330" s="138"/>
      <c r="M330" s="138"/>
      <c r="N330" s="138"/>
      <c r="O330" s="138"/>
      <c r="P330" s="138"/>
    </row>
    <row r="331">
      <c r="A331" s="138"/>
      <c r="B331" s="138"/>
      <c r="C331" s="138"/>
      <c r="D331" s="138"/>
      <c r="E331" s="138"/>
      <c r="F331" s="138"/>
      <c r="G331" s="138"/>
      <c r="H331" s="138"/>
      <c r="I331" s="138"/>
      <c r="J331" s="138"/>
      <c r="K331" s="138"/>
      <c r="L331" s="138"/>
      <c r="M331" s="138"/>
      <c r="N331" s="138"/>
      <c r="O331" s="138"/>
      <c r="P331" s="138"/>
    </row>
    <row r="332">
      <c r="A332" s="138"/>
      <c r="B332" s="138"/>
      <c r="C332" s="138"/>
      <c r="D332" s="138"/>
      <c r="E332" s="138"/>
      <c r="F332" s="138"/>
      <c r="G332" s="138"/>
      <c r="H332" s="138"/>
      <c r="I332" s="138"/>
      <c r="J332" s="138"/>
      <c r="K332" s="138"/>
      <c r="L332" s="138"/>
      <c r="M332" s="138"/>
      <c r="N332" s="138"/>
      <c r="O332" s="138"/>
      <c r="P332" s="138"/>
    </row>
    <row r="333">
      <c r="A333" s="138"/>
      <c r="B333" s="138"/>
      <c r="C333" s="138"/>
      <c r="D333" s="138"/>
      <c r="E333" s="138"/>
      <c r="F333" s="138"/>
      <c r="G333" s="138"/>
      <c r="H333" s="138"/>
      <c r="I333" s="138"/>
      <c r="J333" s="138"/>
      <c r="K333" s="138"/>
      <c r="L333" s="138"/>
      <c r="M333" s="138"/>
      <c r="N333" s="138"/>
      <c r="O333" s="138"/>
      <c r="P333" s="138"/>
    </row>
    <row r="334">
      <c r="A334" s="138"/>
      <c r="B334" s="138"/>
      <c r="C334" s="138"/>
      <c r="D334" s="138"/>
      <c r="E334" s="138"/>
      <c r="F334" s="138"/>
      <c r="G334" s="138"/>
      <c r="H334" s="138"/>
      <c r="I334" s="138"/>
      <c r="J334" s="138"/>
      <c r="K334" s="138"/>
      <c r="L334" s="138"/>
      <c r="M334" s="138"/>
      <c r="N334" s="138"/>
      <c r="O334" s="138"/>
      <c r="P334" s="138"/>
    </row>
    <row r="335">
      <c r="A335" s="138"/>
      <c r="B335" s="138"/>
      <c r="C335" s="138"/>
      <c r="D335" s="138"/>
      <c r="E335" s="138"/>
      <c r="F335" s="138"/>
      <c r="G335" s="138"/>
      <c r="H335" s="138"/>
      <c r="I335" s="138"/>
      <c r="J335" s="138"/>
      <c r="K335" s="138"/>
      <c r="L335" s="138"/>
      <c r="M335" s="138"/>
      <c r="N335" s="138"/>
      <c r="O335" s="138"/>
      <c r="P335" s="138"/>
    </row>
    <row r="336">
      <c r="A336" s="138"/>
      <c r="B336" s="138"/>
      <c r="C336" s="138"/>
      <c r="D336" s="138"/>
      <c r="E336" s="138"/>
      <c r="F336" s="138"/>
      <c r="G336" s="138"/>
      <c r="H336" s="138"/>
      <c r="I336" s="138"/>
      <c r="J336" s="138"/>
      <c r="K336" s="138"/>
      <c r="L336" s="138"/>
      <c r="M336" s="138"/>
      <c r="N336" s="138"/>
      <c r="O336" s="138"/>
      <c r="P336" s="138"/>
    </row>
    <row r="337">
      <c r="A337" s="138"/>
      <c r="B337" s="138"/>
      <c r="C337" s="138"/>
      <c r="D337" s="138"/>
      <c r="E337" s="138"/>
      <c r="F337" s="138"/>
      <c r="G337" s="138"/>
      <c r="H337" s="138"/>
      <c r="I337" s="138"/>
      <c r="J337" s="138"/>
      <c r="K337" s="138"/>
      <c r="L337" s="138"/>
      <c r="M337" s="138"/>
      <c r="N337" s="138"/>
      <c r="O337" s="138"/>
      <c r="P337" s="138"/>
    </row>
    <row r="338">
      <c r="A338" s="138"/>
      <c r="B338" s="138"/>
      <c r="C338" s="138"/>
      <c r="D338" s="138"/>
      <c r="E338" s="138"/>
      <c r="F338" s="138"/>
      <c r="G338" s="138"/>
      <c r="H338" s="138"/>
      <c r="I338" s="138"/>
      <c r="J338" s="138"/>
      <c r="K338" s="138"/>
      <c r="L338" s="138"/>
      <c r="M338" s="138"/>
      <c r="N338" s="138"/>
      <c r="O338" s="138"/>
      <c r="P338" s="138"/>
    </row>
    <row r="339">
      <c r="A339" s="138"/>
      <c r="B339" s="138"/>
      <c r="C339" s="138"/>
      <c r="D339" s="138"/>
      <c r="E339" s="138"/>
      <c r="F339" s="138"/>
      <c r="G339" s="138"/>
      <c r="H339" s="138"/>
      <c r="I339" s="138"/>
      <c r="J339" s="138"/>
      <c r="K339" s="138"/>
      <c r="L339" s="138"/>
      <c r="M339" s="138"/>
      <c r="N339" s="138"/>
      <c r="O339" s="138"/>
      <c r="P339" s="138"/>
    </row>
    <row r="340">
      <c r="A340" s="138"/>
      <c r="B340" s="138"/>
      <c r="C340" s="138"/>
      <c r="D340" s="138"/>
      <c r="E340" s="138"/>
      <c r="F340" s="138"/>
      <c r="G340" s="138"/>
      <c r="H340" s="138"/>
      <c r="I340" s="138"/>
      <c r="J340" s="138"/>
      <c r="K340" s="138"/>
      <c r="L340" s="138"/>
      <c r="M340" s="138"/>
      <c r="N340" s="138"/>
      <c r="O340" s="138"/>
      <c r="P340" s="138"/>
    </row>
    <row r="341">
      <c r="A341" s="138"/>
      <c r="B341" s="138"/>
      <c r="C341" s="138"/>
      <c r="D341" s="138"/>
      <c r="E341" s="138"/>
      <c r="F341" s="138"/>
      <c r="G341" s="138"/>
      <c r="H341" s="138"/>
      <c r="I341" s="138"/>
      <c r="J341" s="138"/>
      <c r="K341" s="138"/>
      <c r="L341" s="138"/>
      <c r="M341" s="138"/>
      <c r="N341" s="138"/>
      <c r="O341" s="138"/>
      <c r="P341" s="138"/>
    </row>
    <row r="342">
      <c r="A342" s="138"/>
      <c r="B342" s="138"/>
      <c r="C342" s="138"/>
      <c r="D342" s="138"/>
      <c r="E342" s="138"/>
      <c r="F342" s="138"/>
      <c r="G342" s="138"/>
      <c r="H342" s="138"/>
      <c r="I342" s="138"/>
      <c r="J342" s="138"/>
      <c r="K342" s="138"/>
      <c r="L342" s="138"/>
      <c r="M342" s="138"/>
      <c r="N342" s="138"/>
      <c r="O342" s="138"/>
      <c r="P342" s="138"/>
    </row>
    <row r="343">
      <c r="A343" s="138"/>
      <c r="B343" s="138"/>
      <c r="C343" s="138"/>
      <c r="D343" s="138"/>
      <c r="E343" s="138"/>
      <c r="F343" s="138"/>
      <c r="G343" s="138"/>
      <c r="H343" s="138"/>
      <c r="I343" s="138"/>
      <c r="J343" s="138"/>
      <c r="K343" s="138"/>
      <c r="L343" s="138"/>
      <c r="M343" s="138"/>
      <c r="N343" s="138"/>
      <c r="O343" s="138"/>
      <c r="P343" s="138"/>
    </row>
    <row r="344">
      <c r="A344" s="138"/>
      <c r="B344" s="138"/>
      <c r="C344" s="138"/>
      <c r="D344" s="138"/>
      <c r="E344" s="138"/>
      <c r="F344" s="138"/>
      <c r="G344" s="138"/>
      <c r="H344" s="138"/>
      <c r="I344" s="138"/>
      <c r="J344" s="138"/>
      <c r="K344" s="138"/>
      <c r="L344" s="138"/>
      <c r="M344" s="138"/>
      <c r="N344" s="138"/>
      <c r="O344" s="138"/>
      <c r="P344" s="138"/>
    </row>
    <row r="345">
      <c r="A345" s="138"/>
      <c r="B345" s="138"/>
      <c r="C345" s="138"/>
      <c r="D345" s="138"/>
      <c r="E345" s="138"/>
      <c r="F345" s="138"/>
      <c r="G345" s="138"/>
      <c r="H345" s="138"/>
      <c r="I345" s="138"/>
      <c r="J345" s="138"/>
      <c r="K345" s="138"/>
      <c r="L345" s="138"/>
      <c r="M345" s="138"/>
      <c r="N345" s="138"/>
      <c r="O345" s="138"/>
      <c r="P345" s="138"/>
    </row>
    <row r="346">
      <c r="A346" s="138"/>
      <c r="B346" s="138"/>
      <c r="C346" s="138"/>
      <c r="D346" s="138"/>
      <c r="E346" s="138"/>
      <c r="F346" s="138"/>
      <c r="G346" s="138"/>
      <c r="H346" s="138"/>
      <c r="I346" s="138"/>
      <c r="J346" s="138"/>
      <c r="K346" s="138"/>
      <c r="L346" s="138"/>
      <c r="M346" s="138"/>
      <c r="N346" s="138"/>
      <c r="O346" s="138"/>
      <c r="P346" s="138"/>
    </row>
    <row r="347">
      <c r="A347" s="138"/>
      <c r="B347" s="138"/>
      <c r="C347" s="138"/>
      <c r="D347" s="138"/>
      <c r="E347" s="138"/>
      <c r="F347" s="138"/>
      <c r="G347" s="138"/>
      <c r="H347" s="138"/>
      <c r="I347" s="138"/>
      <c r="J347" s="138"/>
      <c r="K347" s="138"/>
      <c r="L347" s="138"/>
      <c r="M347" s="138"/>
      <c r="N347" s="138"/>
      <c r="O347" s="138"/>
      <c r="P347" s="138"/>
    </row>
    <row r="348">
      <c r="A348" s="138"/>
      <c r="B348" s="138"/>
      <c r="C348" s="138"/>
      <c r="D348" s="138"/>
      <c r="E348" s="138"/>
      <c r="F348" s="138"/>
      <c r="G348" s="138"/>
      <c r="H348" s="138"/>
      <c r="I348" s="138"/>
      <c r="J348" s="138"/>
      <c r="K348" s="138"/>
      <c r="L348" s="138"/>
      <c r="M348" s="138"/>
      <c r="N348" s="138"/>
      <c r="O348" s="138"/>
      <c r="P348" s="138"/>
    </row>
    <row r="349">
      <c r="A349" s="138"/>
      <c r="B349" s="138"/>
      <c r="C349" s="138"/>
      <c r="D349" s="138"/>
      <c r="E349" s="138"/>
      <c r="F349" s="138"/>
      <c r="G349" s="138"/>
      <c r="H349" s="138"/>
      <c r="I349" s="138"/>
      <c r="J349" s="138"/>
      <c r="K349" s="138"/>
      <c r="L349" s="138"/>
      <c r="M349" s="138"/>
      <c r="N349" s="138"/>
      <c r="O349" s="138"/>
      <c r="P349" s="138"/>
    </row>
    <row r="350">
      <c r="A350" s="138"/>
      <c r="B350" s="138"/>
      <c r="C350" s="138"/>
      <c r="D350" s="138"/>
      <c r="E350" s="138"/>
      <c r="F350" s="138"/>
      <c r="G350" s="138"/>
      <c r="H350" s="138"/>
      <c r="I350" s="138"/>
      <c r="J350" s="138"/>
      <c r="K350" s="138"/>
      <c r="L350" s="138"/>
      <c r="M350" s="138"/>
      <c r="N350" s="138"/>
      <c r="O350" s="138"/>
      <c r="P350" s="138"/>
    </row>
    <row r="351">
      <c r="A351" s="138"/>
      <c r="B351" s="138"/>
      <c r="C351" s="138"/>
      <c r="D351" s="138"/>
      <c r="E351" s="138"/>
      <c r="F351" s="138"/>
      <c r="G351" s="138"/>
      <c r="H351" s="138"/>
      <c r="I351" s="138"/>
      <c r="J351" s="138"/>
      <c r="K351" s="138"/>
      <c r="L351" s="138"/>
      <c r="M351" s="138"/>
      <c r="N351" s="138"/>
      <c r="O351" s="138"/>
      <c r="P351" s="138"/>
    </row>
    <row r="352">
      <c r="A352" s="138"/>
      <c r="B352" s="138"/>
      <c r="C352" s="138"/>
      <c r="D352" s="138"/>
      <c r="E352" s="138"/>
      <c r="F352" s="138"/>
      <c r="G352" s="138"/>
      <c r="H352" s="138"/>
      <c r="I352" s="138"/>
      <c r="J352" s="138"/>
      <c r="K352" s="138"/>
      <c r="L352" s="138"/>
      <c r="M352" s="138"/>
      <c r="N352" s="138"/>
      <c r="O352" s="138"/>
      <c r="P352" s="138"/>
    </row>
    <row r="353">
      <c r="A353" s="138"/>
      <c r="B353" s="138"/>
      <c r="C353" s="138"/>
      <c r="D353" s="138"/>
      <c r="E353" s="138"/>
      <c r="F353" s="138"/>
      <c r="G353" s="138"/>
      <c r="H353" s="138"/>
      <c r="I353" s="138"/>
      <c r="J353" s="138"/>
      <c r="K353" s="138"/>
      <c r="L353" s="138"/>
      <c r="M353" s="138"/>
      <c r="N353" s="138"/>
      <c r="O353" s="138"/>
      <c r="P353" s="138"/>
    </row>
    <row r="354">
      <c r="A354" s="138"/>
      <c r="B354" s="138"/>
      <c r="C354" s="138"/>
      <c r="D354" s="138"/>
      <c r="E354" s="138"/>
      <c r="F354" s="138"/>
      <c r="G354" s="138"/>
      <c r="H354" s="138"/>
      <c r="I354" s="138"/>
      <c r="J354" s="138"/>
      <c r="K354" s="138"/>
      <c r="L354" s="138"/>
      <c r="M354" s="138"/>
      <c r="N354" s="138"/>
      <c r="O354" s="138"/>
      <c r="P354" s="138"/>
    </row>
    <row r="355">
      <c r="A355" s="138"/>
      <c r="B355" s="138"/>
      <c r="C355" s="138"/>
      <c r="D355" s="138"/>
      <c r="E355" s="138"/>
      <c r="F355" s="138"/>
      <c r="G355" s="138"/>
      <c r="H355" s="138"/>
      <c r="I355" s="138"/>
      <c r="J355" s="138"/>
      <c r="K355" s="138"/>
      <c r="L355" s="138"/>
      <c r="M355" s="138"/>
      <c r="N355" s="138"/>
      <c r="O355" s="138"/>
      <c r="P355" s="138"/>
    </row>
    <row r="356">
      <c r="A356" s="138"/>
      <c r="B356" s="138"/>
      <c r="C356" s="138"/>
      <c r="D356" s="138"/>
      <c r="E356" s="138"/>
      <c r="F356" s="138"/>
      <c r="G356" s="138"/>
      <c r="H356" s="138"/>
      <c r="I356" s="138"/>
      <c r="J356" s="138"/>
      <c r="K356" s="138"/>
      <c r="L356" s="138"/>
      <c r="M356" s="138"/>
      <c r="N356" s="138"/>
      <c r="O356" s="138"/>
      <c r="P356" s="138"/>
    </row>
    <row r="357">
      <c r="A357" s="138"/>
      <c r="B357" s="138"/>
      <c r="C357" s="138"/>
      <c r="D357" s="138"/>
      <c r="E357" s="138"/>
      <c r="F357" s="138"/>
      <c r="G357" s="138"/>
      <c r="H357" s="138"/>
      <c r="I357" s="138"/>
      <c r="J357" s="138"/>
      <c r="K357" s="138"/>
      <c r="L357" s="138"/>
      <c r="M357" s="138"/>
      <c r="N357" s="138"/>
      <c r="O357" s="138"/>
      <c r="P357" s="138"/>
    </row>
    <row r="358">
      <c r="A358" s="138"/>
      <c r="B358" s="138"/>
      <c r="C358" s="138"/>
      <c r="D358" s="138"/>
      <c r="E358" s="138"/>
      <c r="F358" s="138"/>
      <c r="G358" s="138"/>
      <c r="H358" s="138"/>
      <c r="I358" s="138"/>
      <c r="J358" s="138"/>
      <c r="K358" s="138"/>
      <c r="L358" s="138"/>
      <c r="M358" s="138"/>
      <c r="N358" s="138"/>
      <c r="O358" s="138"/>
      <c r="P358" s="138"/>
    </row>
    <row r="359">
      <c r="A359" s="138"/>
      <c r="B359" s="138"/>
      <c r="C359" s="138"/>
      <c r="D359" s="138"/>
      <c r="E359" s="138"/>
      <c r="F359" s="138"/>
      <c r="G359" s="138"/>
      <c r="H359" s="138"/>
      <c r="I359" s="138"/>
      <c r="J359" s="138"/>
      <c r="K359" s="138"/>
      <c r="L359" s="138"/>
      <c r="M359" s="138"/>
      <c r="N359" s="138"/>
      <c r="O359" s="138"/>
      <c r="P359" s="138"/>
    </row>
    <row r="360">
      <c r="A360" s="138"/>
      <c r="B360" s="138"/>
      <c r="C360" s="138"/>
      <c r="D360" s="138"/>
      <c r="E360" s="138"/>
      <c r="F360" s="138"/>
      <c r="G360" s="138"/>
      <c r="H360" s="138"/>
      <c r="I360" s="138"/>
      <c r="J360" s="138"/>
      <c r="K360" s="138"/>
      <c r="L360" s="138"/>
      <c r="M360" s="138"/>
      <c r="N360" s="138"/>
      <c r="O360" s="138"/>
      <c r="P360" s="138"/>
    </row>
    <row r="361">
      <c r="A361" s="138"/>
      <c r="B361" s="138"/>
      <c r="C361" s="138"/>
      <c r="D361" s="138"/>
      <c r="E361" s="138"/>
      <c r="F361" s="138"/>
      <c r="G361" s="138"/>
      <c r="H361" s="138"/>
      <c r="I361" s="138"/>
      <c r="J361" s="138"/>
      <c r="K361" s="138"/>
      <c r="L361" s="138"/>
      <c r="M361" s="138"/>
      <c r="N361" s="138"/>
      <c r="O361" s="138"/>
      <c r="P361" s="138"/>
    </row>
    <row r="362">
      <c r="A362" s="138"/>
      <c r="B362" s="138"/>
      <c r="C362" s="138"/>
      <c r="D362" s="138"/>
      <c r="E362" s="138"/>
      <c r="F362" s="138"/>
      <c r="G362" s="138"/>
      <c r="H362" s="138"/>
      <c r="I362" s="138"/>
      <c r="J362" s="138"/>
      <c r="K362" s="138"/>
      <c r="L362" s="138"/>
      <c r="M362" s="138"/>
      <c r="N362" s="138"/>
      <c r="O362" s="138"/>
      <c r="P362" s="138"/>
    </row>
    <row r="363">
      <c r="A363" s="138"/>
      <c r="B363" s="138"/>
      <c r="C363" s="138"/>
      <c r="D363" s="138"/>
      <c r="E363" s="138"/>
      <c r="F363" s="138"/>
      <c r="G363" s="138"/>
      <c r="H363" s="138"/>
      <c r="I363" s="138"/>
      <c r="J363" s="138"/>
      <c r="K363" s="138"/>
      <c r="L363" s="138"/>
      <c r="M363" s="138"/>
      <c r="N363" s="138"/>
      <c r="O363" s="138"/>
      <c r="P363" s="138"/>
    </row>
    <row r="364">
      <c r="A364" s="138"/>
      <c r="B364" s="138"/>
      <c r="C364" s="138"/>
      <c r="D364" s="138"/>
      <c r="E364" s="138"/>
      <c r="F364" s="138"/>
      <c r="G364" s="138"/>
      <c r="H364" s="138"/>
      <c r="I364" s="138"/>
      <c r="J364" s="138"/>
      <c r="K364" s="138"/>
      <c r="L364" s="138"/>
      <c r="M364" s="138"/>
      <c r="N364" s="138"/>
      <c r="O364" s="138"/>
      <c r="P364" s="138"/>
    </row>
    <row r="365">
      <c r="A365" s="138"/>
      <c r="B365" s="138"/>
      <c r="C365" s="138"/>
      <c r="D365" s="138"/>
      <c r="E365" s="138"/>
      <c r="F365" s="138"/>
      <c r="G365" s="138"/>
      <c r="H365" s="138"/>
      <c r="I365" s="138"/>
      <c r="J365" s="138"/>
      <c r="K365" s="138"/>
      <c r="L365" s="138"/>
      <c r="M365" s="138"/>
      <c r="N365" s="138"/>
      <c r="O365" s="138"/>
      <c r="P365" s="138"/>
    </row>
    <row r="366">
      <c r="A366" s="138"/>
      <c r="B366" s="138"/>
      <c r="C366" s="138"/>
      <c r="D366" s="138"/>
      <c r="E366" s="138"/>
      <c r="F366" s="138"/>
      <c r="G366" s="138"/>
      <c r="H366" s="138"/>
      <c r="I366" s="138"/>
      <c r="J366" s="138"/>
      <c r="K366" s="138"/>
      <c r="L366" s="138"/>
      <c r="M366" s="138"/>
      <c r="N366" s="138"/>
      <c r="O366" s="138"/>
      <c r="P366" s="138"/>
    </row>
    <row r="367">
      <c r="A367" s="138"/>
      <c r="B367" s="138"/>
      <c r="C367" s="138"/>
      <c r="D367" s="138"/>
      <c r="E367" s="138"/>
      <c r="F367" s="138"/>
      <c r="G367" s="138"/>
      <c r="H367" s="138"/>
      <c r="I367" s="138"/>
      <c r="J367" s="138"/>
      <c r="K367" s="138"/>
      <c r="L367" s="138"/>
      <c r="M367" s="138"/>
      <c r="N367" s="138"/>
      <c r="O367" s="138"/>
      <c r="P367" s="138"/>
    </row>
    <row r="368">
      <c r="A368" s="138"/>
      <c r="B368" s="138"/>
      <c r="C368" s="138"/>
      <c r="D368" s="138"/>
      <c r="E368" s="138"/>
      <c r="F368" s="138"/>
      <c r="G368" s="138"/>
      <c r="H368" s="138"/>
      <c r="I368" s="138"/>
      <c r="J368" s="138"/>
      <c r="K368" s="138"/>
      <c r="L368" s="138"/>
      <c r="M368" s="138"/>
      <c r="N368" s="138"/>
      <c r="O368" s="138"/>
      <c r="P368" s="138"/>
    </row>
    <row r="369">
      <c r="A369" s="138"/>
      <c r="B369" s="138"/>
      <c r="C369" s="138"/>
      <c r="D369" s="138"/>
      <c r="E369" s="138"/>
      <c r="F369" s="138"/>
      <c r="G369" s="138"/>
      <c r="H369" s="138"/>
      <c r="I369" s="138"/>
      <c r="J369" s="138"/>
      <c r="K369" s="138"/>
      <c r="L369" s="138"/>
      <c r="M369" s="138"/>
      <c r="N369" s="138"/>
      <c r="O369" s="138"/>
      <c r="P369" s="138"/>
    </row>
    <row r="370">
      <c r="A370" s="138"/>
      <c r="B370" s="138"/>
      <c r="C370" s="138"/>
      <c r="D370" s="138"/>
      <c r="E370" s="138"/>
      <c r="F370" s="138"/>
      <c r="G370" s="138"/>
      <c r="H370" s="138"/>
      <c r="I370" s="138"/>
      <c r="J370" s="138"/>
      <c r="K370" s="138"/>
      <c r="L370" s="138"/>
      <c r="M370" s="138"/>
      <c r="N370" s="138"/>
      <c r="O370" s="138"/>
      <c r="P370" s="138"/>
    </row>
    <row r="371">
      <c r="A371" s="138"/>
      <c r="B371" s="138"/>
      <c r="C371" s="138"/>
      <c r="D371" s="138"/>
      <c r="E371" s="138"/>
      <c r="F371" s="138"/>
      <c r="G371" s="138"/>
      <c r="H371" s="138"/>
      <c r="I371" s="138"/>
      <c r="J371" s="138"/>
      <c r="K371" s="138"/>
      <c r="L371" s="138"/>
      <c r="M371" s="138"/>
      <c r="N371" s="138"/>
      <c r="O371" s="138"/>
      <c r="P371" s="138"/>
    </row>
    <row r="372">
      <c r="A372" s="138"/>
      <c r="B372" s="138"/>
      <c r="C372" s="138"/>
      <c r="D372" s="138"/>
      <c r="E372" s="138"/>
      <c r="F372" s="138"/>
      <c r="G372" s="138"/>
      <c r="H372" s="138"/>
      <c r="I372" s="138"/>
      <c r="J372" s="138"/>
      <c r="K372" s="138"/>
      <c r="L372" s="138"/>
      <c r="M372" s="138"/>
      <c r="N372" s="138"/>
      <c r="O372" s="138"/>
      <c r="P372" s="138"/>
    </row>
    <row r="373">
      <c r="A373" s="138"/>
      <c r="B373" s="138"/>
      <c r="C373" s="138"/>
      <c r="D373" s="138"/>
      <c r="E373" s="138"/>
      <c r="F373" s="138"/>
      <c r="G373" s="138"/>
      <c r="H373" s="138"/>
      <c r="I373" s="138"/>
      <c r="J373" s="138"/>
      <c r="K373" s="138"/>
      <c r="L373" s="138"/>
      <c r="M373" s="138"/>
      <c r="N373" s="138"/>
      <c r="O373" s="138"/>
      <c r="P373" s="138"/>
    </row>
    <row r="374">
      <c r="A374" s="138"/>
      <c r="B374" s="138"/>
      <c r="C374" s="138"/>
      <c r="D374" s="138"/>
      <c r="E374" s="138"/>
      <c r="F374" s="138"/>
      <c r="G374" s="138"/>
      <c r="H374" s="138"/>
      <c r="I374" s="138"/>
      <c r="J374" s="138"/>
      <c r="K374" s="138"/>
      <c r="L374" s="138"/>
      <c r="M374" s="138"/>
      <c r="N374" s="138"/>
      <c r="O374" s="138"/>
      <c r="P374" s="138"/>
    </row>
    <row r="375">
      <c r="A375" s="138"/>
      <c r="B375" s="138"/>
      <c r="C375" s="138"/>
      <c r="D375" s="138"/>
      <c r="E375" s="138"/>
      <c r="F375" s="138"/>
      <c r="G375" s="138"/>
      <c r="H375" s="138"/>
      <c r="I375" s="138"/>
      <c r="J375" s="138"/>
      <c r="K375" s="138"/>
      <c r="L375" s="138"/>
      <c r="M375" s="138"/>
      <c r="N375" s="138"/>
      <c r="O375" s="138"/>
      <c r="P375" s="138"/>
    </row>
    <row r="376">
      <c r="A376" s="138"/>
      <c r="B376" s="138"/>
      <c r="C376" s="138"/>
      <c r="D376" s="138"/>
      <c r="E376" s="138"/>
      <c r="F376" s="138"/>
      <c r="G376" s="138"/>
      <c r="H376" s="138"/>
      <c r="I376" s="138"/>
      <c r="J376" s="138"/>
      <c r="K376" s="138"/>
      <c r="L376" s="138"/>
      <c r="M376" s="138"/>
      <c r="N376" s="138"/>
      <c r="O376" s="138"/>
      <c r="P376" s="138"/>
    </row>
    <row r="377">
      <c r="A377" s="138"/>
      <c r="B377" s="138"/>
      <c r="C377" s="138"/>
      <c r="D377" s="138"/>
      <c r="E377" s="138"/>
      <c r="F377" s="138"/>
      <c r="G377" s="138"/>
      <c r="H377" s="138"/>
      <c r="I377" s="138"/>
      <c r="J377" s="138"/>
      <c r="K377" s="138"/>
      <c r="L377" s="138"/>
      <c r="M377" s="138"/>
      <c r="N377" s="138"/>
      <c r="O377" s="138"/>
      <c r="P377" s="138"/>
    </row>
    <row r="378">
      <c r="A378" s="138"/>
      <c r="B378" s="138"/>
      <c r="C378" s="138"/>
      <c r="D378" s="138"/>
      <c r="E378" s="138"/>
      <c r="F378" s="138"/>
      <c r="G378" s="138"/>
      <c r="H378" s="138"/>
      <c r="I378" s="138"/>
      <c r="J378" s="138"/>
      <c r="K378" s="138"/>
      <c r="L378" s="138"/>
      <c r="M378" s="138"/>
      <c r="N378" s="138"/>
      <c r="O378" s="138"/>
      <c r="P378" s="138"/>
    </row>
    <row r="379">
      <c r="A379" s="138"/>
      <c r="B379" s="138"/>
      <c r="C379" s="138"/>
      <c r="D379" s="138"/>
      <c r="E379" s="138"/>
      <c r="F379" s="138"/>
      <c r="G379" s="138"/>
      <c r="H379" s="138"/>
      <c r="I379" s="138"/>
      <c r="J379" s="138"/>
      <c r="K379" s="138"/>
      <c r="L379" s="138"/>
      <c r="M379" s="138"/>
      <c r="N379" s="138"/>
      <c r="O379" s="138"/>
      <c r="P379" s="138"/>
    </row>
    <row r="380">
      <c r="A380" s="138"/>
      <c r="B380" s="138"/>
      <c r="C380" s="138"/>
      <c r="D380" s="138"/>
      <c r="E380" s="138"/>
      <c r="F380" s="138"/>
      <c r="G380" s="138"/>
      <c r="H380" s="138"/>
      <c r="I380" s="138"/>
      <c r="J380" s="138"/>
      <c r="K380" s="138"/>
      <c r="L380" s="138"/>
      <c r="M380" s="138"/>
      <c r="N380" s="138"/>
      <c r="O380" s="138"/>
      <c r="P380" s="138"/>
    </row>
    <row r="381">
      <c r="A381" s="138"/>
      <c r="B381" s="138"/>
      <c r="C381" s="138"/>
      <c r="D381" s="138"/>
      <c r="E381" s="138"/>
      <c r="F381" s="138"/>
      <c r="G381" s="138"/>
      <c r="H381" s="138"/>
      <c r="I381" s="138"/>
      <c r="J381" s="138"/>
      <c r="K381" s="138"/>
      <c r="L381" s="138"/>
      <c r="M381" s="138"/>
      <c r="N381" s="138"/>
      <c r="O381" s="138"/>
      <c r="P381" s="138"/>
    </row>
    <row r="382">
      <c r="A382" s="138"/>
      <c r="B382" s="138"/>
      <c r="C382" s="138"/>
      <c r="D382" s="138"/>
      <c r="E382" s="138"/>
      <c r="F382" s="138"/>
      <c r="G382" s="138"/>
      <c r="H382" s="138"/>
      <c r="I382" s="138"/>
      <c r="J382" s="138"/>
      <c r="K382" s="138"/>
      <c r="L382" s="138"/>
      <c r="M382" s="138"/>
      <c r="N382" s="138"/>
      <c r="O382" s="138"/>
      <c r="P382" s="138"/>
    </row>
    <row r="383">
      <c r="A383" s="138"/>
      <c r="B383" s="138"/>
      <c r="C383" s="138"/>
      <c r="D383" s="138"/>
      <c r="E383" s="138"/>
      <c r="F383" s="138"/>
      <c r="G383" s="138"/>
      <c r="H383" s="138"/>
      <c r="I383" s="138"/>
      <c r="J383" s="138"/>
      <c r="K383" s="138"/>
      <c r="L383" s="138"/>
      <c r="M383" s="138"/>
      <c r="N383" s="138"/>
      <c r="O383" s="138"/>
      <c r="P383" s="138"/>
    </row>
    <row r="384">
      <c r="A384" s="138"/>
      <c r="B384" s="138"/>
      <c r="C384" s="138"/>
      <c r="D384" s="138"/>
      <c r="E384" s="138"/>
      <c r="F384" s="138"/>
      <c r="G384" s="138"/>
      <c r="H384" s="138"/>
      <c r="I384" s="138"/>
      <c r="J384" s="138"/>
      <c r="K384" s="138"/>
      <c r="L384" s="138"/>
      <c r="M384" s="138"/>
      <c r="N384" s="138"/>
      <c r="O384" s="138"/>
      <c r="P384" s="138"/>
    </row>
    <row r="385">
      <c r="A385" s="138"/>
      <c r="B385" s="138"/>
      <c r="C385" s="138"/>
      <c r="D385" s="138"/>
      <c r="E385" s="138"/>
      <c r="F385" s="138"/>
      <c r="G385" s="138"/>
      <c r="H385" s="138"/>
      <c r="I385" s="138"/>
      <c r="J385" s="138"/>
      <c r="K385" s="138"/>
      <c r="L385" s="138"/>
      <c r="M385" s="138"/>
      <c r="N385" s="138"/>
      <c r="O385" s="138"/>
      <c r="P385" s="138"/>
    </row>
    <row r="386">
      <c r="A386" s="138"/>
      <c r="B386" s="138"/>
      <c r="C386" s="138"/>
      <c r="D386" s="138"/>
      <c r="E386" s="138"/>
      <c r="F386" s="138"/>
      <c r="G386" s="138"/>
      <c r="H386" s="138"/>
      <c r="I386" s="138"/>
      <c r="J386" s="138"/>
      <c r="K386" s="138"/>
      <c r="L386" s="138"/>
      <c r="M386" s="138"/>
      <c r="N386" s="138"/>
      <c r="O386" s="138"/>
      <c r="P386" s="138"/>
    </row>
    <row r="387">
      <c r="A387" s="138"/>
      <c r="B387" s="138"/>
      <c r="C387" s="138"/>
      <c r="D387" s="138"/>
      <c r="E387" s="138"/>
      <c r="F387" s="138"/>
      <c r="G387" s="138"/>
      <c r="H387" s="138"/>
      <c r="I387" s="138"/>
      <c r="J387" s="138"/>
      <c r="K387" s="138"/>
      <c r="L387" s="138"/>
      <c r="M387" s="138"/>
      <c r="N387" s="138"/>
      <c r="O387" s="138"/>
      <c r="P387" s="138"/>
    </row>
    <row r="388">
      <c r="A388" s="138"/>
      <c r="B388" s="138"/>
      <c r="C388" s="138"/>
      <c r="D388" s="138"/>
      <c r="E388" s="138"/>
      <c r="F388" s="138"/>
      <c r="G388" s="138"/>
      <c r="H388" s="138"/>
      <c r="I388" s="138"/>
      <c r="J388" s="138"/>
      <c r="K388" s="138"/>
      <c r="L388" s="138"/>
      <c r="M388" s="138"/>
      <c r="N388" s="138"/>
      <c r="O388" s="138"/>
      <c r="P388" s="138"/>
    </row>
    <row r="389">
      <c r="A389" s="138"/>
      <c r="B389" s="138"/>
      <c r="C389" s="138"/>
      <c r="D389" s="138"/>
      <c r="E389" s="138"/>
      <c r="F389" s="138"/>
      <c r="G389" s="138"/>
      <c r="H389" s="138"/>
      <c r="I389" s="138"/>
      <c r="J389" s="138"/>
      <c r="K389" s="138"/>
      <c r="L389" s="138"/>
      <c r="M389" s="138"/>
      <c r="N389" s="138"/>
      <c r="O389" s="138"/>
      <c r="P389" s="138"/>
    </row>
    <row r="390">
      <c r="A390" s="138"/>
      <c r="B390" s="138"/>
      <c r="C390" s="138"/>
      <c r="D390" s="138"/>
      <c r="E390" s="138"/>
      <c r="F390" s="138"/>
      <c r="G390" s="138"/>
      <c r="H390" s="138"/>
      <c r="I390" s="138"/>
      <c r="J390" s="138"/>
      <c r="K390" s="138"/>
      <c r="L390" s="138"/>
      <c r="M390" s="138"/>
      <c r="N390" s="138"/>
      <c r="O390" s="138"/>
      <c r="P390" s="138"/>
    </row>
    <row r="391">
      <c r="A391" s="138"/>
      <c r="B391" s="138"/>
      <c r="C391" s="138"/>
      <c r="D391" s="138"/>
      <c r="E391" s="138"/>
      <c r="F391" s="138"/>
      <c r="G391" s="138"/>
      <c r="H391" s="138"/>
      <c r="I391" s="138"/>
      <c r="J391" s="138"/>
      <c r="K391" s="138"/>
      <c r="L391" s="138"/>
      <c r="M391" s="138"/>
      <c r="N391" s="138"/>
      <c r="O391" s="138"/>
      <c r="P391" s="138"/>
    </row>
    <row r="392">
      <c r="A392" s="138"/>
      <c r="B392" s="138"/>
      <c r="C392" s="138"/>
      <c r="D392" s="138"/>
      <c r="E392" s="138"/>
      <c r="F392" s="138"/>
      <c r="G392" s="138"/>
      <c r="H392" s="138"/>
      <c r="I392" s="138"/>
      <c r="J392" s="138"/>
      <c r="K392" s="138"/>
      <c r="L392" s="138"/>
      <c r="M392" s="138"/>
      <c r="N392" s="138"/>
      <c r="O392" s="138"/>
      <c r="P392" s="138"/>
    </row>
    <row r="393">
      <c r="A393" s="138"/>
      <c r="B393" s="138"/>
      <c r="C393" s="138"/>
      <c r="D393" s="138"/>
      <c r="E393" s="138"/>
      <c r="F393" s="138"/>
      <c r="G393" s="138"/>
      <c r="H393" s="138"/>
      <c r="I393" s="138"/>
      <c r="J393" s="138"/>
      <c r="K393" s="138"/>
      <c r="L393" s="138"/>
      <c r="M393" s="138"/>
      <c r="N393" s="138"/>
      <c r="O393" s="138"/>
      <c r="P393" s="138"/>
    </row>
    <row r="394">
      <c r="A394" s="138"/>
      <c r="B394" s="138"/>
      <c r="C394" s="138"/>
      <c r="D394" s="138"/>
      <c r="E394" s="138"/>
      <c r="F394" s="138"/>
      <c r="G394" s="138"/>
      <c r="H394" s="138"/>
      <c r="I394" s="138"/>
      <c r="J394" s="138"/>
      <c r="K394" s="138"/>
      <c r="L394" s="138"/>
      <c r="M394" s="138"/>
      <c r="N394" s="138"/>
      <c r="O394" s="138"/>
      <c r="P394" s="138"/>
    </row>
    <row r="395">
      <c r="A395" s="138"/>
      <c r="B395" s="138"/>
      <c r="C395" s="138"/>
      <c r="D395" s="138"/>
      <c r="E395" s="138"/>
      <c r="F395" s="138"/>
      <c r="G395" s="138"/>
      <c r="H395" s="138"/>
      <c r="I395" s="138"/>
      <c r="J395" s="138"/>
      <c r="K395" s="138"/>
      <c r="L395" s="138"/>
      <c r="M395" s="138"/>
      <c r="N395" s="138"/>
      <c r="O395" s="138"/>
      <c r="P395" s="138"/>
    </row>
    <row r="396">
      <c r="A396" s="138"/>
      <c r="B396" s="138"/>
      <c r="C396" s="138"/>
      <c r="D396" s="138"/>
      <c r="E396" s="138"/>
      <c r="F396" s="138"/>
      <c r="G396" s="138"/>
      <c r="H396" s="138"/>
      <c r="I396" s="138"/>
      <c r="J396" s="138"/>
      <c r="K396" s="138"/>
      <c r="L396" s="138"/>
      <c r="M396" s="138"/>
      <c r="N396" s="138"/>
      <c r="O396" s="138"/>
      <c r="P396" s="138"/>
    </row>
    <row r="397">
      <c r="A397" s="138"/>
      <c r="B397" s="138"/>
      <c r="C397" s="138"/>
      <c r="D397" s="138"/>
      <c r="E397" s="138"/>
      <c r="F397" s="138"/>
      <c r="G397" s="138"/>
      <c r="H397" s="138"/>
      <c r="I397" s="138"/>
      <c r="J397" s="138"/>
      <c r="K397" s="138"/>
      <c r="L397" s="138"/>
      <c r="M397" s="138"/>
      <c r="N397" s="138"/>
      <c r="O397" s="138"/>
      <c r="P397" s="138"/>
    </row>
    <row r="398">
      <c r="A398" s="138"/>
      <c r="B398" s="138"/>
      <c r="C398" s="138"/>
      <c r="D398" s="138"/>
      <c r="E398" s="138"/>
      <c r="F398" s="138"/>
      <c r="G398" s="138"/>
      <c r="H398" s="138"/>
      <c r="I398" s="138"/>
      <c r="J398" s="138"/>
      <c r="K398" s="138"/>
      <c r="L398" s="138"/>
      <c r="M398" s="138"/>
      <c r="N398" s="138"/>
      <c r="O398" s="138"/>
      <c r="P398" s="138"/>
    </row>
    <row r="399">
      <c r="A399" s="138"/>
      <c r="B399" s="138"/>
      <c r="C399" s="138"/>
      <c r="D399" s="138"/>
      <c r="E399" s="138"/>
      <c r="F399" s="138"/>
      <c r="G399" s="138"/>
      <c r="H399" s="138"/>
      <c r="I399" s="138"/>
      <c r="J399" s="138"/>
      <c r="K399" s="138"/>
      <c r="L399" s="138"/>
      <c r="M399" s="138"/>
      <c r="N399" s="138"/>
      <c r="O399" s="138"/>
      <c r="P399" s="138"/>
    </row>
    <row r="400">
      <c r="A400" s="138"/>
      <c r="B400" s="138"/>
      <c r="C400" s="138"/>
      <c r="D400" s="138"/>
      <c r="E400" s="138"/>
      <c r="F400" s="138"/>
      <c r="G400" s="138"/>
      <c r="H400" s="138"/>
      <c r="I400" s="138"/>
      <c r="J400" s="138"/>
      <c r="K400" s="138"/>
      <c r="L400" s="138"/>
      <c r="M400" s="138"/>
      <c r="N400" s="138"/>
      <c r="O400" s="138"/>
      <c r="P400" s="138"/>
    </row>
    <row r="401">
      <c r="A401" s="138"/>
      <c r="B401" s="138"/>
      <c r="C401" s="138"/>
      <c r="D401" s="138"/>
      <c r="E401" s="138"/>
      <c r="F401" s="138"/>
      <c r="G401" s="138"/>
      <c r="H401" s="138"/>
      <c r="I401" s="138"/>
      <c r="J401" s="138"/>
      <c r="K401" s="138"/>
      <c r="L401" s="138"/>
      <c r="M401" s="138"/>
      <c r="N401" s="138"/>
      <c r="O401" s="138"/>
      <c r="P401" s="138"/>
    </row>
    <row r="402">
      <c r="A402" s="138"/>
      <c r="B402" s="138"/>
      <c r="C402" s="138"/>
      <c r="D402" s="138"/>
      <c r="E402" s="138"/>
      <c r="F402" s="138"/>
      <c r="G402" s="138"/>
      <c r="H402" s="138"/>
      <c r="I402" s="138"/>
      <c r="J402" s="138"/>
      <c r="K402" s="138"/>
      <c r="L402" s="138"/>
      <c r="M402" s="138"/>
      <c r="N402" s="138"/>
      <c r="O402" s="138"/>
      <c r="P402" s="138"/>
    </row>
    <row r="403">
      <c r="A403" s="138"/>
      <c r="B403" s="138"/>
      <c r="C403" s="138"/>
      <c r="D403" s="138"/>
      <c r="E403" s="138"/>
      <c r="F403" s="138"/>
      <c r="G403" s="138"/>
      <c r="H403" s="138"/>
      <c r="I403" s="138"/>
      <c r="J403" s="138"/>
      <c r="K403" s="138"/>
      <c r="L403" s="138"/>
      <c r="M403" s="138"/>
      <c r="N403" s="138"/>
      <c r="O403" s="138"/>
      <c r="P403" s="138"/>
    </row>
    <row r="404">
      <c r="A404" s="138"/>
      <c r="B404" s="138"/>
      <c r="C404" s="138"/>
      <c r="D404" s="138"/>
      <c r="E404" s="138"/>
      <c r="F404" s="138"/>
      <c r="G404" s="138"/>
      <c r="H404" s="138"/>
      <c r="I404" s="138"/>
      <c r="J404" s="138"/>
      <c r="K404" s="138"/>
      <c r="L404" s="138"/>
      <c r="M404" s="138"/>
      <c r="N404" s="138"/>
      <c r="O404" s="138"/>
      <c r="P404" s="138"/>
    </row>
    <row r="405">
      <c r="A405" s="138"/>
      <c r="B405" s="138"/>
      <c r="C405" s="138"/>
      <c r="D405" s="138"/>
      <c r="E405" s="138"/>
      <c r="F405" s="138"/>
      <c r="G405" s="138"/>
      <c r="H405" s="138"/>
      <c r="I405" s="138"/>
      <c r="J405" s="138"/>
      <c r="K405" s="138"/>
      <c r="L405" s="138"/>
      <c r="M405" s="138"/>
      <c r="N405" s="138"/>
      <c r="O405" s="138"/>
      <c r="P405" s="138"/>
    </row>
    <row r="406">
      <c r="A406" s="138"/>
      <c r="B406" s="138"/>
      <c r="C406" s="138"/>
      <c r="D406" s="138"/>
      <c r="E406" s="138"/>
      <c r="F406" s="138"/>
      <c r="G406" s="138"/>
      <c r="H406" s="138"/>
      <c r="I406" s="138"/>
      <c r="J406" s="138"/>
      <c r="K406" s="138"/>
      <c r="L406" s="138"/>
      <c r="M406" s="138"/>
      <c r="N406" s="138"/>
      <c r="O406" s="138"/>
      <c r="P406" s="138"/>
    </row>
    <row r="407">
      <c r="A407" s="138"/>
      <c r="B407" s="138"/>
      <c r="C407" s="138"/>
      <c r="D407" s="138"/>
      <c r="E407" s="138"/>
      <c r="F407" s="138"/>
      <c r="G407" s="138"/>
      <c r="H407" s="138"/>
      <c r="I407" s="138"/>
      <c r="J407" s="138"/>
      <c r="K407" s="138"/>
      <c r="L407" s="138"/>
      <c r="M407" s="138"/>
      <c r="N407" s="138"/>
      <c r="O407" s="138"/>
      <c r="P407" s="138"/>
    </row>
    <row r="408">
      <c r="A408" s="138"/>
      <c r="B408" s="138"/>
      <c r="C408" s="138"/>
      <c r="D408" s="138"/>
      <c r="E408" s="138"/>
      <c r="F408" s="138"/>
      <c r="G408" s="138"/>
      <c r="H408" s="138"/>
      <c r="I408" s="138"/>
      <c r="J408" s="138"/>
      <c r="K408" s="138"/>
      <c r="L408" s="138"/>
      <c r="M408" s="138"/>
      <c r="N408" s="138"/>
      <c r="O408" s="138"/>
      <c r="P408" s="138"/>
    </row>
    <row r="409">
      <c r="A409" s="138"/>
      <c r="B409" s="138"/>
      <c r="C409" s="138"/>
      <c r="D409" s="138"/>
      <c r="E409" s="138"/>
      <c r="F409" s="138"/>
      <c r="G409" s="138"/>
      <c r="H409" s="138"/>
      <c r="I409" s="138"/>
      <c r="J409" s="138"/>
      <c r="K409" s="138"/>
      <c r="L409" s="138"/>
      <c r="M409" s="138"/>
      <c r="N409" s="138"/>
      <c r="O409" s="138"/>
      <c r="P409" s="138"/>
    </row>
    <row r="410">
      <c r="A410" s="138"/>
      <c r="B410" s="138"/>
      <c r="C410" s="138"/>
      <c r="D410" s="138"/>
      <c r="E410" s="138"/>
      <c r="F410" s="138"/>
      <c r="G410" s="138"/>
      <c r="H410" s="138"/>
      <c r="I410" s="138"/>
      <c r="J410" s="138"/>
      <c r="K410" s="138"/>
      <c r="L410" s="138"/>
      <c r="M410" s="138"/>
      <c r="N410" s="138"/>
      <c r="O410" s="138"/>
      <c r="P410" s="138"/>
    </row>
    <row r="411">
      <c r="A411" s="138"/>
      <c r="B411" s="138"/>
      <c r="C411" s="138"/>
      <c r="D411" s="138"/>
      <c r="E411" s="138"/>
      <c r="F411" s="138"/>
      <c r="G411" s="138"/>
      <c r="H411" s="138"/>
      <c r="I411" s="138"/>
      <c r="J411" s="138"/>
      <c r="K411" s="138"/>
      <c r="L411" s="138"/>
      <c r="M411" s="138"/>
      <c r="N411" s="138"/>
      <c r="O411" s="138"/>
      <c r="P411" s="138"/>
    </row>
    <row r="412">
      <c r="A412" s="138"/>
      <c r="B412" s="138"/>
      <c r="C412" s="138"/>
      <c r="D412" s="138"/>
      <c r="E412" s="138"/>
      <c r="F412" s="138"/>
      <c r="G412" s="138"/>
      <c r="H412" s="138"/>
      <c r="I412" s="138"/>
      <c r="J412" s="138"/>
      <c r="K412" s="138"/>
      <c r="L412" s="138"/>
      <c r="M412" s="138"/>
      <c r="N412" s="138"/>
      <c r="O412" s="138"/>
      <c r="P412" s="138"/>
    </row>
    <row r="413">
      <c r="A413" s="138"/>
      <c r="B413" s="138"/>
      <c r="C413" s="138"/>
      <c r="D413" s="138"/>
      <c r="E413" s="138"/>
      <c r="F413" s="138"/>
      <c r="G413" s="138"/>
      <c r="H413" s="138"/>
      <c r="I413" s="138"/>
      <c r="J413" s="138"/>
      <c r="K413" s="138"/>
      <c r="L413" s="138"/>
      <c r="M413" s="138"/>
      <c r="N413" s="138"/>
      <c r="O413" s="138"/>
      <c r="P413" s="138"/>
    </row>
    <row r="414">
      <c r="A414" s="138"/>
      <c r="B414" s="138"/>
      <c r="C414" s="138"/>
      <c r="D414" s="138"/>
      <c r="E414" s="138"/>
      <c r="F414" s="138"/>
      <c r="G414" s="138"/>
      <c r="H414" s="138"/>
      <c r="I414" s="138"/>
      <c r="J414" s="138"/>
      <c r="K414" s="138"/>
      <c r="L414" s="138"/>
      <c r="M414" s="138"/>
      <c r="N414" s="138"/>
      <c r="O414" s="138"/>
      <c r="P414" s="138"/>
    </row>
    <row r="415">
      <c r="A415" s="138"/>
      <c r="B415" s="138"/>
      <c r="C415" s="138"/>
      <c r="D415" s="138"/>
      <c r="E415" s="138"/>
      <c r="F415" s="138"/>
      <c r="G415" s="138"/>
      <c r="H415" s="138"/>
      <c r="I415" s="138"/>
      <c r="J415" s="138"/>
      <c r="K415" s="138"/>
      <c r="L415" s="138"/>
      <c r="M415" s="138"/>
      <c r="N415" s="138"/>
      <c r="O415" s="138"/>
      <c r="P415" s="138"/>
    </row>
    <row r="416">
      <c r="A416" s="138"/>
      <c r="B416" s="138"/>
      <c r="C416" s="138"/>
      <c r="D416" s="138"/>
      <c r="E416" s="138"/>
      <c r="F416" s="138"/>
      <c r="G416" s="138"/>
      <c r="H416" s="138"/>
      <c r="I416" s="138"/>
      <c r="J416" s="138"/>
      <c r="K416" s="138"/>
      <c r="L416" s="138"/>
      <c r="M416" s="138"/>
      <c r="N416" s="138"/>
      <c r="O416" s="138"/>
      <c r="P416" s="138"/>
    </row>
    <row r="417">
      <c r="A417" s="138"/>
      <c r="B417" s="138"/>
      <c r="C417" s="138"/>
      <c r="D417" s="138"/>
      <c r="E417" s="138"/>
      <c r="F417" s="138"/>
      <c r="G417" s="138"/>
      <c r="H417" s="138"/>
      <c r="I417" s="138"/>
      <c r="J417" s="138"/>
      <c r="K417" s="138"/>
      <c r="L417" s="138"/>
      <c r="M417" s="138"/>
      <c r="N417" s="138"/>
      <c r="O417" s="138"/>
      <c r="P417" s="138"/>
    </row>
    <row r="418">
      <c r="A418" s="138"/>
      <c r="B418" s="138"/>
      <c r="C418" s="138"/>
      <c r="D418" s="138"/>
      <c r="E418" s="138"/>
      <c r="F418" s="138"/>
      <c r="G418" s="138"/>
      <c r="H418" s="138"/>
      <c r="I418" s="138"/>
      <c r="J418" s="138"/>
      <c r="K418" s="138"/>
      <c r="L418" s="138"/>
      <c r="M418" s="138"/>
      <c r="N418" s="138"/>
      <c r="O418" s="138"/>
      <c r="P418" s="138"/>
    </row>
    <row r="419">
      <c r="A419" s="138"/>
      <c r="B419" s="138"/>
      <c r="C419" s="138"/>
      <c r="D419" s="138"/>
      <c r="E419" s="138"/>
      <c r="F419" s="138"/>
      <c r="G419" s="138"/>
      <c r="H419" s="138"/>
      <c r="I419" s="138"/>
      <c r="J419" s="138"/>
      <c r="K419" s="138"/>
      <c r="L419" s="138"/>
      <c r="M419" s="138"/>
      <c r="N419" s="138"/>
      <c r="O419" s="138"/>
      <c r="P419" s="138"/>
    </row>
    <row r="420">
      <c r="A420" s="138"/>
      <c r="B420" s="138"/>
      <c r="C420" s="138"/>
      <c r="D420" s="138"/>
      <c r="E420" s="138"/>
      <c r="F420" s="138"/>
      <c r="G420" s="138"/>
      <c r="H420" s="138"/>
      <c r="I420" s="138"/>
      <c r="J420" s="138"/>
      <c r="K420" s="138"/>
      <c r="L420" s="138"/>
      <c r="M420" s="138"/>
      <c r="N420" s="138"/>
      <c r="O420" s="138"/>
      <c r="P420" s="138"/>
    </row>
    <row r="421">
      <c r="A421" s="138"/>
      <c r="B421" s="138"/>
      <c r="C421" s="138"/>
      <c r="D421" s="138"/>
      <c r="E421" s="138"/>
      <c r="F421" s="138"/>
      <c r="G421" s="138"/>
      <c r="H421" s="138"/>
      <c r="I421" s="138"/>
      <c r="J421" s="138"/>
      <c r="K421" s="138"/>
      <c r="L421" s="138"/>
      <c r="M421" s="138"/>
      <c r="N421" s="138"/>
      <c r="O421" s="138"/>
      <c r="P421" s="138"/>
    </row>
    <row r="422">
      <c r="A422" s="138"/>
      <c r="B422" s="138"/>
      <c r="C422" s="138"/>
      <c r="D422" s="138"/>
      <c r="E422" s="138"/>
      <c r="F422" s="138"/>
      <c r="G422" s="138"/>
      <c r="H422" s="138"/>
      <c r="I422" s="138"/>
      <c r="J422" s="138"/>
      <c r="K422" s="138"/>
      <c r="L422" s="138"/>
      <c r="M422" s="138"/>
      <c r="N422" s="138"/>
      <c r="O422" s="138"/>
      <c r="P422" s="138"/>
    </row>
    <row r="423">
      <c r="A423" s="138"/>
      <c r="B423" s="138"/>
      <c r="C423" s="138"/>
      <c r="D423" s="138"/>
      <c r="E423" s="138"/>
      <c r="F423" s="138"/>
      <c r="G423" s="138"/>
      <c r="H423" s="138"/>
      <c r="I423" s="138"/>
      <c r="J423" s="138"/>
      <c r="K423" s="138"/>
      <c r="L423" s="138"/>
      <c r="M423" s="138"/>
      <c r="N423" s="138"/>
      <c r="O423" s="138"/>
      <c r="P423" s="138"/>
    </row>
    <row r="424">
      <c r="A424" s="138"/>
      <c r="B424" s="138"/>
      <c r="C424" s="138"/>
      <c r="D424" s="138"/>
      <c r="E424" s="138"/>
      <c r="F424" s="138"/>
      <c r="G424" s="138"/>
      <c r="H424" s="138"/>
      <c r="I424" s="138"/>
      <c r="J424" s="138"/>
      <c r="K424" s="138"/>
      <c r="L424" s="138"/>
      <c r="M424" s="138"/>
      <c r="N424" s="138"/>
      <c r="O424" s="138"/>
      <c r="P424" s="138"/>
    </row>
    <row r="425">
      <c r="A425" s="138"/>
      <c r="B425" s="138"/>
      <c r="C425" s="138"/>
      <c r="D425" s="138"/>
      <c r="E425" s="138"/>
      <c r="F425" s="138"/>
      <c r="G425" s="138"/>
      <c r="H425" s="138"/>
      <c r="I425" s="138"/>
      <c r="J425" s="138"/>
      <c r="K425" s="138"/>
      <c r="L425" s="138"/>
      <c r="M425" s="138"/>
      <c r="N425" s="138"/>
      <c r="O425" s="138"/>
      <c r="P425" s="138"/>
    </row>
    <row r="426">
      <c r="A426" s="138"/>
      <c r="B426" s="138"/>
      <c r="C426" s="138"/>
      <c r="D426" s="138"/>
      <c r="E426" s="138"/>
      <c r="F426" s="138"/>
      <c r="G426" s="138"/>
      <c r="H426" s="138"/>
      <c r="I426" s="138"/>
      <c r="J426" s="138"/>
      <c r="K426" s="138"/>
      <c r="L426" s="138"/>
      <c r="M426" s="138"/>
      <c r="N426" s="138"/>
      <c r="O426" s="138"/>
      <c r="P426" s="138"/>
    </row>
    <row r="427">
      <c r="A427" s="138"/>
      <c r="B427" s="138"/>
      <c r="C427" s="138"/>
      <c r="D427" s="138"/>
      <c r="E427" s="138"/>
      <c r="F427" s="138"/>
      <c r="G427" s="138"/>
      <c r="H427" s="138"/>
      <c r="I427" s="138"/>
      <c r="J427" s="138"/>
      <c r="K427" s="138"/>
      <c r="L427" s="138"/>
      <c r="M427" s="138"/>
      <c r="N427" s="138"/>
      <c r="O427" s="138"/>
      <c r="P427" s="138"/>
    </row>
    <row r="428">
      <c r="A428" s="138"/>
      <c r="B428" s="138"/>
      <c r="C428" s="138"/>
      <c r="D428" s="138"/>
      <c r="E428" s="138"/>
      <c r="F428" s="138"/>
      <c r="G428" s="138"/>
      <c r="H428" s="138"/>
      <c r="I428" s="138"/>
      <c r="J428" s="138"/>
      <c r="K428" s="138"/>
      <c r="L428" s="138"/>
      <c r="M428" s="138"/>
      <c r="N428" s="138"/>
      <c r="O428" s="138"/>
      <c r="P428" s="138"/>
    </row>
    <row r="429">
      <c r="A429" s="138"/>
      <c r="B429" s="138"/>
      <c r="C429" s="138"/>
      <c r="D429" s="138"/>
      <c r="E429" s="138"/>
      <c r="F429" s="138"/>
      <c r="G429" s="138"/>
      <c r="H429" s="138"/>
      <c r="I429" s="138"/>
      <c r="J429" s="138"/>
      <c r="K429" s="138"/>
      <c r="L429" s="138"/>
      <c r="M429" s="138"/>
      <c r="N429" s="138"/>
      <c r="O429" s="138"/>
      <c r="P429" s="138"/>
    </row>
    <row r="430">
      <c r="A430" s="138"/>
      <c r="B430" s="138"/>
      <c r="C430" s="138"/>
      <c r="D430" s="138"/>
      <c r="E430" s="138"/>
      <c r="F430" s="138"/>
      <c r="G430" s="138"/>
      <c r="H430" s="138"/>
      <c r="I430" s="138"/>
      <c r="J430" s="138"/>
      <c r="K430" s="138"/>
      <c r="L430" s="138"/>
      <c r="M430" s="138"/>
      <c r="N430" s="138"/>
      <c r="O430" s="138"/>
      <c r="P430" s="138"/>
    </row>
    <row r="431">
      <c r="A431" s="138"/>
      <c r="B431" s="138"/>
      <c r="C431" s="138"/>
      <c r="D431" s="138"/>
      <c r="E431" s="138"/>
      <c r="F431" s="138"/>
      <c r="G431" s="138"/>
      <c r="H431" s="138"/>
      <c r="I431" s="138"/>
      <c r="J431" s="138"/>
      <c r="K431" s="138"/>
      <c r="L431" s="138"/>
      <c r="M431" s="138"/>
      <c r="N431" s="138"/>
      <c r="O431" s="138"/>
      <c r="P431" s="138"/>
    </row>
    <row r="432">
      <c r="A432" s="138"/>
      <c r="B432" s="138"/>
      <c r="C432" s="138"/>
      <c r="D432" s="138"/>
      <c r="E432" s="138"/>
      <c r="F432" s="138"/>
      <c r="G432" s="138"/>
      <c r="H432" s="138"/>
      <c r="I432" s="138"/>
      <c r="J432" s="138"/>
      <c r="K432" s="138"/>
      <c r="L432" s="138"/>
      <c r="M432" s="138"/>
      <c r="N432" s="138"/>
      <c r="O432" s="138"/>
      <c r="P432" s="138"/>
    </row>
    <row r="433">
      <c r="A433" s="138"/>
      <c r="B433" s="138"/>
      <c r="C433" s="138"/>
      <c r="D433" s="138"/>
      <c r="E433" s="138"/>
      <c r="F433" s="138"/>
      <c r="G433" s="138"/>
      <c r="H433" s="138"/>
      <c r="I433" s="138"/>
      <c r="J433" s="138"/>
      <c r="K433" s="138"/>
      <c r="L433" s="138"/>
      <c r="M433" s="138"/>
      <c r="N433" s="138"/>
      <c r="O433" s="138"/>
      <c r="P433" s="138"/>
    </row>
    <row r="434">
      <c r="A434" s="138"/>
      <c r="B434" s="138"/>
      <c r="C434" s="138"/>
      <c r="D434" s="138"/>
      <c r="E434" s="138"/>
      <c r="F434" s="138"/>
      <c r="G434" s="138"/>
      <c r="H434" s="138"/>
      <c r="I434" s="138"/>
      <c r="J434" s="138"/>
      <c r="K434" s="138"/>
      <c r="L434" s="138"/>
      <c r="M434" s="138"/>
      <c r="N434" s="138"/>
      <c r="O434" s="138"/>
      <c r="P434" s="138"/>
    </row>
    <row r="435">
      <c r="A435" s="138"/>
      <c r="B435" s="138"/>
      <c r="C435" s="138"/>
      <c r="D435" s="138"/>
      <c r="E435" s="138"/>
      <c r="F435" s="138"/>
      <c r="G435" s="138"/>
      <c r="H435" s="138"/>
      <c r="I435" s="138"/>
      <c r="J435" s="138"/>
      <c r="K435" s="138"/>
      <c r="L435" s="138"/>
      <c r="M435" s="138"/>
      <c r="N435" s="138"/>
      <c r="O435" s="138"/>
      <c r="P435" s="138"/>
    </row>
    <row r="436">
      <c r="A436" s="138"/>
      <c r="B436" s="138"/>
      <c r="C436" s="138"/>
      <c r="D436" s="138"/>
      <c r="E436" s="138"/>
      <c r="F436" s="138"/>
      <c r="G436" s="138"/>
      <c r="H436" s="138"/>
      <c r="I436" s="138"/>
      <c r="J436" s="138"/>
      <c r="K436" s="138"/>
      <c r="L436" s="138"/>
      <c r="M436" s="138"/>
      <c r="N436" s="138"/>
      <c r="O436" s="138"/>
      <c r="P436" s="138"/>
    </row>
    <row r="437">
      <c r="A437" s="138"/>
      <c r="B437" s="138"/>
      <c r="C437" s="138"/>
      <c r="D437" s="138"/>
      <c r="E437" s="138"/>
      <c r="F437" s="138"/>
      <c r="G437" s="138"/>
      <c r="H437" s="138"/>
      <c r="I437" s="138"/>
      <c r="J437" s="138"/>
      <c r="K437" s="138"/>
      <c r="L437" s="138"/>
      <c r="M437" s="138"/>
      <c r="N437" s="138"/>
      <c r="O437" s="138"/>
      <c r="P437" s="138"/>
    </row>
    <row r="438">
      <c r="A438" s="138"/>
      <c r="B438" s="138"/>
      <c r="C438" s="138"/>
      <c r="D438" s="138"/>
      <c r="E438" s="138"/>
      <c r="F438" s="138"/>
      <c r="G438" s="138"/>
      <c r="H438" s="138"/>
      <c r="I438" s="138"/>
      <c r="J438" s="138"/>
      <c r="K438" s="138"/>
      <c r="L438" s="138"/>
      <c r="M438" s="138"/>
      <c r="N438" s="138"/>
      <c r="O438" s="138"/>
      <c r="P438" s="138"/>
    </row>
    <row r="439">
      <c r="A439" s="138"/>
      <c r="B439" s="138"/>
      <c r="C439" s="138"/>
      <c r="D439" s="138"/>
      <c r="E439" s="138"/>
      <c r="F439" s="138"/>
      <c r="G439" s="138"/>
      <c r="H439" s="138"/>
      <c r="I439" s="138"/>
      <c r="J439" s="138"/>
      <c r="K439" s="138"/>
      <c r="L439" s="138"/>
      <c r="M439" s="138"/>
      <c r="N439" s="138"/>
      <c r="O439" s="138"/>
      <c r="P439" s="138"/>
    </row>
    <row r="440">
      <c r="A440" s="138"/>
      <c r="B440" s="138"/>
      <c r="C440" s="138"/>
      <c r="D440" s="138"/>
      <c r="E440" s="138"/>
      <c r="F440" s="138"/>
      <c r="G440" s="138"/>
      <c r="H440" s="138"/>
      <c r="I440" s="138"/>
      <c r="J440" s="138"/>
      <c r="K440" s="138"/>
      <c r="L440" s="138"/>
      <c r="M440" s="138"/>
      <c r="N440" s="138"/>
      <c r="O440" s="138"/>
      <c r="P440" s="138"/>
    </row>
    <row r="441">
      <c r="A441" s="138"/>
      <c r="B441" s="138"/>
      <c r="C441" s="138"/>
      <c r="D441" s="138"/>
      <c r="E441" s="138"/>
      <c r="F441" s="138"/>
      <c r="G441" s="138"/>
      <c r="H441" s="138"/>
      <c r="I441" s="138"/>
      <c r="J441" s="138"/>
      <c r="K441" s="138"/>
      <c r="L441" s="138"/>
      <c r="M441" s="138"/>
      <c r="N441" s="138"/>
      <c r="O441" s="138"/>
      <c r="P441" s="138"/>
    </row>
    <row r="442">
      <c r="A442" s="138"/>
      <c r="B442" s="138"/>
      <c r="C442" s="138"/>
      <c r="D442" s="138"/>
      <c r="E442" s="138"/>
      <c r="F442" s="138"/>
      <c r="G442" s="138"/>
      <c r="H442" s="138"/>
      <c r="I442" s="138"/>
      <c r="J442" s="138"/>
      <c r="K442" s="138"/>
      <c r="L442" s="138"/>
      <c r="M442" s="138"/>
      <c r="N442" s="138"/>
      <c r="O442" s="138"/>
      <c r="P442" s="138"/>
    </row>
    <row r="443">
      <c r="A443" s="138"/>
      <c r="B443" s="138"/>
      <c r="C443" s="138"/>
      <c r="D443" s="138"/>
      <c r="E443" s="138"/>
      <c r="F443" s="138"/>
      <c r="G443" s="138"/>
      <c r="H443" s="138"/>
      <c r="I443" s="138"/>
      <c r="J443" s="138"/>
      <c r="K443" s="138"/>
      <c r="L443" s="138"/>
      <c r="M443" s="138"/>
      <c r="N443" s="138"/>
      <c r="O443" s="138"/>
      <c r="P443" s="138"/>
    </row>
    <row r="444">
      <c r="A444" s="138"/>
      <c r="B444" s="138"/>
      <c r="C444" s="138"/>
      <c r="D444" s="138"/>
      <c r="E444" s="138"/>
      <c r="F444" s="138"/>
      <c r="G444" s="138"/>
      <c r="H444" s="138"/>
      <c r="I444" s="138"/>
      <c r="J444" s="138"/>
      <c r="K444" s="138"/>
      <c r="L444" s="138"/>
      <c r="M444" s="138"/>
      <c r="N444" s="138"/>
      <c r="O444" s="138"/>
      <c r="P444" s="138"/>
    </row>
    <row r="445">
      <c r="A445" s="138"/>
      <c r="B445" s="138"/>
      <c r="C445" s="138"/>
      <c r="D445" s="138"/>
      <c r="E445" s="138"/>
      <c r="F445" s="138"/>
      <c r="G445" s="138"/>
      <c r="H445" s="138"/>
      <c r="I445" s="138"/>
      <c r="J445" s="138"/>
      <c r="K445" s="138"/>
      <c r="L445" s="138"/>
      <c r="M445" s="138"/>
      <c r="N445" s="138"/>
      <c r="O445" s="138"/>
      <c r="P445" s="138"/>
    </row>
    <row r="446">
      <c r="A446" s="138"/>
      <c r="B446" s="138"/>
      <c r="C446" s="138"/>
      <c r="D446" s="138"/>
      <c r="E446" s="138"/>
      <c r="F446" s="138"/>
      <c r="G446" s="138"/>
      <c r="H446" s="138"/>
      <c r="I446" s="138"/>
      <c r="J446" s="138"/>
      <c r="K446" s="138"/>
      <c r="L446" s="138"/>
      <c r="M446" s="138"/>
      <c r="N446" s="138"/>
      <c r="O446" s="138"/>
      <c r="P446" s="138"/>
    </row>
    <row r="447">
      <c r="A447" s="138"/>
      <c r="B447" s="138"/>
      <c r="C447" s="138"/>
      <c r="D447" s="138"/>
      <c r="E447" s="138"/>
      <c r="F447" s="138"/>
      <c r="G447" s="138"/>
      <c r="H447" s="138"/>
      <c r="I447" s="138"/>
      <c r="J447" s="138"/>
      <c r="K447" s="138"/>
      <c r="L447" s="138"/>
      <c r="M447" s="138"/>
      <c r="N447" s="138"/>
      <c r="O447" s="138"/>
      <c r="P447" s="138"/>
    </row>
    <row r="448">
      <c r="A448" s="138"/>
      <c r="B448" s="138"/>
      <c r="C448" s="138"/>
      <c r="D448" s="138"/>
      <c r="E448" s="138"/>
      <c r="F448" s="138"/>
      <c r="G448" s="138"/>
      <c r="H448" s="138"/>
      <c r="I448" s="138"/>
      <c r="J448" s="138"/>
      <c r="K448" s="138"/>
      <c r="L448" s="138"/>
      <c r="M448" s="138"/>
      <c r="N448" s="138"/>
      <c r="O448" s="138"/>
      <c r="P448" s="138"/>
    </row>
    <row r="449">
      <c r="A449" s="138"/>
      <c r="B449" s="138"/>
      <c r="C449" s="138"/>
      <c r="D449" s="138"/>
      <c r="E449" s="138"/>
      <c r="F449" s="138"/>
      <c r="G449" s="138"/>
      <c r="H449" s="138"/>
      <c r="I449" s="138"/>
      <c r="J449" s="138"/>
      <c r="K449" s="138"/>
      <c r="L449" s="138"/>
      <c r="M449" s="138"/>
      <c r="N449" s="138"/>
      <c r="O449" s="138"/>
      <c r="P449" s="138"/>
    </row>
    <row r="450">
      <c r="A450" s="138"/>
      <c r="B450" s="138"/>
      <c r="C450" s="138"/>
      <c r="D450" s="138"/>
      <c r="E450" s="138"/>
      <c r="F450" s="138"/>
      <c r="G450" s="138"/>
      <c r="H450" s="138"/>
      <c r="I450" s="138"/>
      <c r="J450" s="138"/>
      <c r="K450" s="138"/>
      <c r="L450" s="138"/>
      <c r="M450" s="138"/>
      <c r="N450" s="138"/>
      <c r="O450" s="138"/>
      <c r="P450" s="138"/>
    </row>
    <row r="451">
      <c r="A451" s="138"/>
      <c r="B451" s="138"/>
      <c r="C451" s="138"/>
      <c r="D451" s="138"/>
      <c r="E451" s="138"/>
      <c r="F451" s="138"/>
      <c r="G451" s="138"/>
      <c r="H451" s="138"/>
      <c r="I451" s="138"/>
      <c r="J451" s="138"/>
      <c r="K451" s="138"/>
      <c r="L451" s="138"/>
      <c r="M451" s="138"/>
      <c r="N451" s="138"/>
      <c r="O451" s="138"/>
      <c r="P451" s="138"/>
    </row>
    <row r="452">
      <c r="A452" s="138"/>
      <c r="B452" s="138"/>
      <c r="C452" s="138"/>
      <c r="D452" s="138"/>
      <c r="E452" s="138"/>
      <c r="F452" s="138"/>
      <c r="G452" s="138"/>
      <c r="H452" s="138"/>
      <c r="I452" s="138"/>
      <c r="J452" s="138"/>
      <c r="K452" s="138"/>
      <c r="L452" s="138"/>
      <c r="M452" s="138"/>
      <c r="N452" s="138"/>
      <c r="O452" s="138"/>
      <c r="P452" s="138"/>
    </row>
    <row r="453">
      <c r="A453" s="138"/>
      <c r="B453" s="138"/>
      <c r="C453" s="138"/>
      <c r="D453" s="138"/>
      <c r="E453" s="138"/>
      <c r="F453" s="138"/>
      <c r="G453" s="138"/>
      <c r="H453" s="138"/>
      <c r="I453" s="138"/>
      <c r="J453" s="138"/>
      <c r="K453" s="138"/>
      <c r="L453" s="138"/>
      <c r="M453" s="138"/>
      <c r="N453" s="138"/>
      <c r="O453" s="138"/>
      <c r="P453" s="138"/>
    </row>
    <row r="454">
      <c r="A454" s="138"/>
      <c r="B454" s="138"/>
      <c r="C454" s="138"/>
      <c r="D454" s="138"/>
      <c r="E454" s="138"/>
      <c r="F454" s="138"/>
      <c r="G454" s="138"/>
      <c r="H454" s="138"/>
      <c r="I454" s="138"/>
      <c r="J454" s="138"/>
      <c r="K454" s="138"/>
      <c r="L454" s="138"/>
      <c r="M454" s="138"/>
      <c r="N454" s="138"/>
      <c r="O454" s="138"/>
      <c r="P454" s="138"/>
    </row>
    <row r="455">
      <c r="A455" s="138"/>
      <c r="B455" s="138"/>
      <c r="C455" s="138"/>
      <c r="D455" s="138"/>
      <c r="E455" s="138"/>
      <c r="F455" s="138"/>
      <c r="G455" s="138"/>
      <c r="H455" s="138"/>
      <c r="I455" s="138"/>
      <c r="J455" s="138"/>
      <c r="K455" s="138"/>
      <c r="L455" s="138"/>
      <c r="M455" s="138"/>
      <c r="N455" s="138"/>
      <c r="O455" s="138"/>
      <c r="P455" s="138"/>
    </row>
    <row r="456">
      <c r="A456" s="138"/>
      <c r="B456" s="138"/>
      <c r="C456" s="138"/>
      <c r="D456" s="138"/>
      <c r="E456" s="138"/>
      <c r="F456" s="138"/>
      <c r="G456" s="138"/>
      <c r="H456" s="138"/>
      <c r="I456" s="138"/>
      <c r="J456" s="138"/>
      <c r="K456" s="138"/>
      <c r="L456" s="138"/>
      <c r="M456" s="138"/>
      <c r="N456" s="138"/>
      <c r="O456" s="138"/>
      <c r="P456" s="138"/>
    </row>
    <row r="457">
      <c r="A457" s="138"/>
      <c r="B457" s="138"/>
      <c r="C457" s="138"/>
      <c r="D457" s="138"/>
      <c r="E457" s="138"/>
      <c r="F457" s="138"/>
      <c r="G457" s="138"/>
      <c r="H457" s="138"/>
      <c r="I457" s="138"/>
      <c r="J457" s="138"/>
      <c r="K457" s="138"/>
      <c r="L457" s="138"/>
      <c r="M457" s="138"/>
      <c r="N457" s="138"/>
      <c r="O457" s="138"/>
      <c r="P457" s="138"/>
    </row>
    <row r="458">
      <c r="A458" s="138"/>
      <c r="B458" s="138"/>
      <c r="C458" s="138"/>
      <c r="D458" s="138"/>
      <c r="E458" s="138"/>
      <c r="F458" s="138"/>
      <c r="G458" s="138"/>
      <c r="H458" s="138"/>
      <c r="I458" s="138"/>
      <c r="J458" s="138"/>
      <c r="K458" s="138"/>
      <c r="L458" s="138"/>
      <c r="M458" s="138"/>
      <c r="N458" s="138"/>
      <c r="O458" s="138"/>
      <c r="P458" s="138"/>
    </row>
    <row r="459">
      <c r="A459" s="138"/>
      <c r="B459" s="138"/>
      <c r="C459" s="138"/>
      <c r="D459" s="138"/>
      <c r="E459" s="138"/>
      <c r="F459" s="138"/>
      <c r="G459" s="138"/>
      <c r="H459" s="138"/>
      <c r="I459" s="138"/>
      <c r="J459" s="138"/>
      <c r="K459" s="138"/>
      <c r="L459" s="138"/>
      <c r="M459" s="138"/>
      <c r="N459" s="138"/>
      <c r="O459" s="138"/>
      <c r="P459" s="138"/>
    </row>
    <row r="460">
      <c r="A460" s="138"/>
      <c r="B460" s="138"/>
      <c r="C460" s="138"/>
      <c r="D460" s="138"/>
      <c r="E460" s="138"/>
      <c r="F460" s="138"/>
      <c r="G460" s="138"/>
      <c r="H460" s="138"/>
      <c r="I460" s="138"/>
      <c r="J460" s="138"/>
      <c r="K460" s="138"/>
      <c r="L460" s="138"/>
      <c r="M460" s="138"/>
      <c r="N460" s="138"/>
      <c r="O460" s="138"/>
      <c r="P460" s="138"/>
    </row>
    <row r="461">
      <c r="A461" s="138"/>
      <c r="B461" s="138"/>
      <c r="C461" s="138"/>
      <c r="D461" s="138"/>
      <c r="E461" s="138"/>
      <c r="F461" s="138"/>
      <c r="G461" s="138"/>
      <c r="H461" s="138"/>
      <c r="I461" s="138"/>
      <c r="J461" s="138"/>
      <c r="K461" s="138"/>
      <c r="L461" s="138"/>
      <c r="M461" s="138"/>
      <c r="N461" s="138"/>
      <c r="O461" s="138"/>
      <c r="P461" s="138"/>
    </row>
    <row r="462">
      <c r="A462" s="138"/>
      <c r="B462" s="138"/>
      <c r="C462" s="138"/>
      <c r="D462" s="138"/>
      <c r="E462" s="138"/>
      <c r="F462" s="138"/>
      <c r="G462" s="138"/>
      <c r="H462" s="138"/>
      <c r="I462" s="138"/>
      <c r="J462" s="138"/>
      <c r="K462" s="138"/>
      <c r="L462" s="138"/>
      <c r="M462" s="138"/>
      <c r="N462" s="138"/>
      <c r="O462" s="138"/>
      <c r="P462" s="138"/>
    </row>
    <row r="463">
      <c r="A463" s="138"/>
      <c r="B463" s="138"/>
      <c r="C463" s="138"/>
      <c r="D463" s="138"/>
      <c r="E463" s="138"/>
      <c r="F463" s="138"/>
      <c r="G463" s="138"/>
      <c r="H463" s="138"/>
      <c r="I463" s="138"/>
      <c r="J463" s="138"/>
      <c r="K463" s="138"/>
      <c r="L463" s="138"/>
      <c r="M463" s="138"/>
      <c r="N463" s="138"/>
      <c r="O463" s="138"/>
      <c r="P463" s="138"/>
    </row>
    <row r="464">
      <c r="A464" s="138"/>
      <c r="B464" s="138"/>
      <c r="C464" s="138"/>
      <c r="D464" s="138"/>
      <c r="E464" s="138"/>
      <c r="F464" s="138"/>
      <c r="G464" s="138"/>
      <c r="H464" s="138"/>
      <c r="I464" s="138"/>
      <c r="J464" s="138"/>
      <c r="K464" s="138"/>
      <c r="L464" s="138"/>
      <c r="M464" s="138"/>
      <c r="N464" s="138"/>
      <c r="O464" s="138"/>
      <c r="P464" s="138"/>
    </row>
    <row r="465">
      <c r="A465" s="138"/>
      <c r="B465" s="138"/>
      <c r="C465" s="138"/>
      <c r="D465" s="138"/>
      <c r="E465" s="138"/>
      <c r="F465" s="138"/>
      <c r="G465" s="138"/>
      <c r="H465" s="138"/>
      <c r="I465" s="138"/>
      <c r="J465" s="138"/>
      <c r="K465" s="138"/>
      <c r="L465" s="138"/>
      <c r="M465" s="138"/>
      <c r="N465" s="138"/>
      <c r="O465" s="138"/>
      <c r="P465" s="138"/>
    </row>
    <row r="466">
      <c r="A466" s="138"/>
      <c r="B466" s="138"/>
      <c r="C466" s="138"/>
      <c r="D466" s="138"/>
      <c r="E466" s="138"/>
      <c r="F466" s="138"/>
      <c r="G466" s="138"/>
      <c r="H466" s="138"/>
      <c r="I466" s="138"/>
      <c r="J466" s="138"/>
      <c r="K466" s="138"/>
      <c r="L466" s="138"/>
      <c r="M466" s="138"/>
      <c r="N466" s="138"/>
      <c r="O466" s="138"/>
      <c r="P466" s="138"/>
    </row>
    <row r="467">
      <c r="A467" s="138"/>
      <c r="B467" s="138"/>
      <c r="C467" s="138"/>
      <c r="D467" s="138"/>
      <c r="E467" s="138"/>
      <c r="F467" s="138"/>
      <c r="G467" s="138"/>
      <c r="H467" s="138"/>
      <c r="I467" s="138"/>
      <c r="J467" s="138"/>
      <c r="K467" s="138"/>
      <c r="L467" s="138"/>
      <c r="M467" s="138"/>
      <c r="N467" s="138"/>
      <c r="O467" s="138"/>
      <c r="P467" s="138"/>
    </row>
    <row r="468">
      <c r="A468" s="138"/>
      <c r="B468" s="138"/>
      <c r="C468" s="138"/>
      <c r="D468" s="138"/>
      <c r="E468" s="138"/>
      <c r="F468" s="138"/>
      <c r="G468" s="138"/>
      <c r="H468" s="138"/>
      <c r="I468" s="138"/>
      <c r="J468" s="138"/>
      <c r="K468" s="138"/>
      <c r="L468" s="138"/>
      <c r="M468" s="138"/>
      <c r="N468" s="138"/>
      <c r="O468" s="138"/>
      <c r="P468" s="138"/>
    </row>
    <row r="469">
      <c r="A469" s="138"/>
      <c r="B469" s="138"/>
      <c r="C469" s="138"/>
      <c r="D469" s="138"/>
      <c r="E469" s="138"/>
      <c r="F469" s="138"/>
      <c r="G469" s="138"/>
      <c r="H469" s="138"/>
      <c r="I469" s="138"/>
      <c r="J469" s="138"/>
      <c r="K469" s="138"/>
      <c r="L469" s="138"/>
      <c r="M469" s="138"/>
      <c r="N469" s="138"/>
      <c r="O469" s="138"/>
      <c r="P469" s="138"/>
    </row>
    <row r="470">
      <c r="A470" s="138"/>
      <c r="B470" s="138"/>
      <c r="C470" s="138"/>
      <c r="D470" s="138"/>
      <c r="E470" s="138"/>
      <c r="F470" s="138"/>
      <c r="G470" s="138"/>
      <c r="H470" s="138"/>
      <c r="I470" s="138"/>
      <c r="J470" s="138"/>
      <c r="K470" s="138"/>
      <c r="L470" s="138"/>
      <c r="M470" s="138"/>
      <c r="N470" s="138"/>
      <c r="O470" s="138"/>
      <c r="P470" s="138"/>
    </row>
    <row r="471">
      <c r="A471" s="138"/>
      <c r="B471" s="138"/>
      <c r="C471" s="138"/>
      <c r="D471" s="138"/>
      <c r="E471" s="138"/>
      <c r="F471" s="138"/>
      <c r="G471" s="138"/>
      <c r="H471" s="138"/>
      <c r="I471" s="138"/>
      <c r="J471" s="138"/>
      <c r="K471" s="138"/>
      <c r="L471" s="138"/>
      <c r="M471" s="138"/>
      <c r="N471" s="138"/>
      <c r="O471" s="138"/>
      <c r="P471" s="138"/>
    </row>
    <row r="472">
      <c r="A472" s="138"/>
      <c r="B472" s="138"/>
      <c r="C472" s="138"/>
      <c r="D472" s="138"/>
      <c r="E472" s="138"/>
      <c r="F472" s="138"/>
      <c r="G472" s="138"/>
      <c r="H472" s="138"/>
      <c r="I472" s="138"/>
      <c r="J472" s="138"/>
      <c r="K472" s="138"/>
      <c r="L472" s="138"/>
      <c r="M472" s="138"/>
      <c r="N472" s="138"/>
      <c r="O472" s="138"/>
      <c r="P472" s="138"/>
    </row>
    <row r="473">
      <c r="A473" s="138"/>
      <c r="B473" s="138"/>
      <c r="C473" s="138"/>
      <c r="D473" s="138"/>
      <c r="E473" s="138"/>
      <c r="F473" s="138"/>
      <c r="G473" s="138"/>
      <c r="H473" s="138"/>
      <c r="I473" s="138"/>
      <c r="J473" s="138"/>
      <c r="K473" s="138"/>
      <c r="L473" s="138"/>
      <c r="M473" s="138"/>
      <c r="N473" s="138"/>
      <c r="O473" s="138"/>
      <c r="P473" s="138"/>
    </row>
    <row r="474">
      <c r="A474" s="138"/>
      <c r="B474" s="138"/>
      <c r="C474" s="138"/>
      <c r="D474" s="138"/>
      <c r="E474" s="138"/>
      <c r="F474" s="138"/>
      <c r="G474" s="138"/>
      <c r="H474" s="138"/>
      <c r="I474" s="138"/>
      <c r="J474" s="138"/>
      <c r="K474" s="138"/>
      <c r="L474" s="138"/>
      <c r="M474" s="138"/>
      <c r="N474" s="138"/>
      <c r="O474" s="138"/>
      <c r="P474" s="138"/>
    </row>
    <row r="475">
      <c r="A475" s="138"/>
      <c r="B475" s="138"/>
      <c r="C475" s="138"/>
      <c r="D475" s="138"/>
      <c r="E475" s="138"/>
      <c r="F475" s="138"/>
      <c r="G475" s="138"/>
      <c r="H475" s="138"/>
      <c r="I475" s="138"/>
      <c r="J475" s="138"/>
      <c r="K475" s="138"/>
      <c r="L475" s="138"/>
      <c r="M475" s="138"/>
      <c r="N475" s="138"/>
      <c r="O475" s="138"/>
      <c r="P475" s="138"/>
    </row>
    <row r="476">
      <c r="A476" s="138"/>
      <c r="B476" s="138"/>
      <c r="C476" s="138"/>
      <c r="D476" s="138"/>
      <c r="E476" s="138"/>
      <c r="F476" s="138"/>
      <c r="G476" s="138"/>
      <c r="H476" s="138"/>
      <c r="I476" s="138"/>
      <c r="J476" s="138"/>
      <c r="K476" s="138"/>
      <c r="L476" s="138"/>
      <c r="M476" s="138"/>
      <c r="N476" s="138"/>
      <c r="O476" s="138"/>
      <c r="P476" s="138"/>
    </row>
    <row r="477">
      <c r="A477" s="138"/>
      <c r="B477" s="138"/>
      <c r="C477" s="138"/>
      <c r="D477" s="138"/>
      <c r="E477" s="138"/>
      <c r="F477" s="138"/>
      <c r="G477" s="138"/>
      <c r="H477" s="138"/>
      <c r="I477" s="138"/>
      <c r="J477" s="138"/>
      <c r="K477" s="138"/>
      <c r="L477" s="138"/>
      <c r="M477" s="138"/>
      <c r="N477" s="138"/>
      <c r="O477" s="138"/>
      <c r="P477" s="138"/>
    </row>
    <row r="478">
      <c r="A478" s="138"/>
      <c r="B478" s="138"/>
      <c r="C478" s="138"/>
      <c r="D478" s="138"/>
      <c r="E478" s="138"/>
      <c r="F478" s="138"/>
      <c r="G478" s="138"/>
      <c r="H478" s="138"/>
      <c r="I478" s="138"/>
      <c r="J478" s="138"/>
      <c r="K478" s="138"/>
      <c r="L478" s="138"/>
      <c r="M478" s="138"/>
      <c r="N478" s="138"/>
      <c r="O478" s="138"/>
      <c r="P478" s="138"/>
    </row>
    <row r="479">
      <c r="A479" s="138"/>
      <c r="B479" s="138"/>
      <c r="C479" s="138"/>
      <c r="D479" s="138"/>
      <c r="E479" s="138"/>
      <c r="F479" s="138"/>
      <c r="G479" s="138"/>
      <c r="H479" s="138"/>
      <c r="I479" s="138"/>
      <c r="J479" s="138"/>
      <c r="K479" s="138"/>
      <c r="L479" s="138"/>
      <c r="M479" s="138"/>
      <c r="N479" s="138"/>
      <c r="O479" s="138"/>
      <c r="P479" s="138"/>
    </row>
    <row r="480">
      <c r="A480" s="138"/>
      <c r="B480" s="138"/>
      <c r="C480" s="138"/>
      <c r="D480" s="138"/>
      <c r="E480" s="138"/>
      <c r="F480" s="138"/>
      <c r="G480" s="138"/>
      <c r="H480" s="138"/>
      <c r="I480" s="138"/>
      <c r="J480" s="138"/>
      <c r="K480" s="138"/>
      <c r="L480" s="138"/>
      <c r="M480" s="138"/>
      <c r="N480" s="138"/>
      <c r="O480" s="138"/>
      <c r="P480" s="138"/>
    </row>
    <row r="481">
      <c r="A481" s="138"/>
      <c r="B481" s="138"/>
      <c r="C481" s="138"/>
      <c r="D481" s="138"/>
      <c r="E481" s="138"/>
      <c r="F481" s="138"/>
      <c r="G481" s="138"/>
      <c r="H481" s="138"/>
      <c r="I481" s="138"/>
      <c r="J481" s="138"/>
      <c r="K481" s="138"/>
      <c r="L481" s="138"/>
      <c r="M481" s="138"/>
      <c r="N481" s="138"/>
      <c r="O481" s="138"/>
      <c r="P481" s="138"/>
    </row>
    <row r="482">
      <c r="A482" s="138"/>
      <c r="B482" s="138"/>
      <c r="C482" s="138"/>
      <c r="D482" s="138"/>
      <c r="E482" s="138"/>
      <c r="F482" s="138"/>
      <c r="G482" s="138"/>
      <c r="H482" s="138"/>
      <c r="I482" s="138"/>
      <c r="J482" s="138"/>
      <c r="K482" s="138"/>
      <c r="L482" s="138"/>
      <c r="M482" s="138"/>
      <c r="N482" s="138"/>
      <c r="O482" s="138"/>
      <c r="P482" s="138"/>
    </row>
    <row r="483">
      <c r="A483" s="138"/>
      <c r="B483" s="138"/>
      <c r="C483" s="138"/>
      <c r="D483" s="138"/>
      <c r="E483" s="138"/>
      <c r="F483" s="138"/>
      <c r="G483" s="138"/>
      <c r="H483" s="138"/>
      <c r="I483" s="138"/>
      <c r="J483" s="138"/>
      <c r="K483" s="138"/>
      <c r="L483" s="138"/>
      <c r="M483" s="138"/>
      <c r="N483" s="138"/>
      <c r="O483" s="138"/>
      <c r="P483" s="138"/>
    </row>
    <row r="484">
      <c r="A484" s="138"/>
      <c r="B484" s="138"/>
      <c r="C484" s="138"/>
      <c r="D484" s="138"/>
      <c r="E484" s="138"/>
      <c r="F484" s="138"/>
      <c r="G484" s="138"/>
      <c r="H484" s="138"/>
      <c r="I484" s="138"/>
      <c r="J484" s="138"/>
      <c r="K484" s="138"/>
      <c r="L484" s="138"/>
      <c r="M484" s="138"/>
      <c r="N484" s="138"/>
      <c r="O484" s="138"/>
      <c r="P484" s="138"/>
    </row>
    <row r="485">
      <c r="A485" s="138"/>
      <c r="B485" s="138"/>
      <c r="C485" s="138"/>
      <c r="D485" s="138"/>
      <c r="E485" s="138"/>
      <c r="F485" s="138"/>
      <c r="G485" s="138"/>
      <c r="H485" s="138"/>
      <c r="I485" s="138"/>
      <c r="J485" s="138"/>
      <c r="K485" s="138"/>
      <c r="L485" s="138"/>
      <c r="M485" s="138"/>
      <c r="N485" s="138"/>
      <c r="O485" s="138"/>
      <c r="P485" s="138"/>
    </row>
    <row r="486">
      <c r="A486" s="138"/>
      <c r="B486" s="138"/>
      <c r="C486" s="138"/>
      <c r="D486" s="138"/>
      <c r="E486" s="138"/>
      <c r="F486" s="138"/>
      <c r="G486" s="138"/>
      <c r="H486" s="138"/>
      <c r="I486" s="138"/>
      <c r="J486" s="138"/>
      <c r="K486" s="138"/>
      <c r="L486" s="138"/>
      <c r="M486" s="138"/>
      <c r="N486" s="138"/>
      <c r="O486" s="138"/>
      <c r="P486" s="138"/>
    </row>
    <row r="487">
      <c r="A487" s="138"/>
      <c r="B487" s="138"/>
      <c r="C487" s="138"/>
      <c r="D487" s="138"/>
      <c r="E487" s="138"/>
      <c r="F487" s="138"/>
      <c r="G487" s="138"/>
      <c r="H487" s="138"/>
      <c r="I487" s="138"/>
      <c r="J487" s="138"/>
      <c r="K487" s="138"/>
      <c r="L487" s="138"/>
      <c r="M487" s="138"/>
      <c r="N487" s="138"/>
      <c r="O487" s="138"/>
      <c r="P487" s="138"/>
    </row>
    <row r="488">
      <c r="A488" s="138"/>
      <c r="B488" s="138"/>
      <c r="C488" s="138"/>
      <c r="D488" s="138"/>
      <c r="E488" s="138"/>
      <c r="F488" s="138"/>
      <c r="G488" s="138"/>
      <c r="H488" s="138"/>
      <c r="I488" s="138"/>
      <c r="J488" s="138"/>
      <c r="K488" s="138"/>
      <c r="L488" s="138"/>
      <c r="M488" s="138"/>
      <c r="N488" s="138"/>
      <c r="O488" s="138"/>
      <c r="P488" s="138"/>
    </row>
    <row r="489">
      <c r="A489" s="138"/>
      <c r="B489" s="138"/>
      <c r="C489" s="138"/>
      <c r="D489" s="138"/>
      <c r="E489" s="138"/>
      <c r="F489" s="138"/>
      <c r="G489" s="138"/>
      <c r="H489" s="138"/>
      <c r="I489" s="138"/>
      <c r="J489" s="138"/>
      <c r="K489" s="138"/>
      <c r="L489" s="138"/>
      <c r="M489" s="138"/>
      <c r="N489" s="138"/>
      <c r="O489" s="138"/>
      <c r="P489" s="138"/>
    </row>
    <row r="490">
      <c r="A490" s="138"/>
      <c r="B490" s="138"/>
      <c r="C490" s="138"/>
      <c r="D490" s="138"/>
      <c r="E490" s="138"/>
      <c r="F490" s="138"/>
      <c r="G490" s="138"/>
      <c r="H490" s="138"/>
      <c r="I490" s="138"/>
      <c r="J490" s="138"/>
      <c r="K490" s="138"/>
      <c r="L490" s="138"/>
      <c r="M490" s="138"/>
      <c r="N490" s="138"/>
      <c r="O490" s="138"/>
      <c r="P490" s="138"/>
    </row>
    <row r="491">
      <c r="A491" s="138"/>
      <c r="B491" s="138"/>
      <c r="C491" s="138"/>
      <c r="D491" s="138"/>
      <c r="E491" s="138"/>
      <c r="F491" s="138"/>
      <c r="G491" s="138"/>
      <c r="H491" s="138"/>
      <c r="I491" s="138"/>
      <c r="J491" s="138"/>
      <c r="K491" s="138"/>
      <c r="L491" s="138"/>
      <c r="M491" s="138"/>
      <c r="N491" s="138"/>
      <c r="O491" s="138"/>
      <c r="P491" s="138"/>
    </row>
    <row r="492">
      <c r="A492" s="138"/>
      <c r="B492" s="138"/>
      <c r="C492" s="138"/>
      <c r="D492" s="138"/>
      <c r="E492" s="138"/>
      <c r="F492" s="138"/>
      <c r="G492" s="138"/>
      <c r="H492" s="138"/>
      <c r="I492" s="138"/>
      <c r="J492" s="138"/>
      <c r="K492" s="138"/>
      <c r="L492" s="138"/>
      <c r="M492" s="138"/>
      <c r="N492" s="138"/>
      <c r="O492" s="138"/>
      <c r="P492" s="138"/>
    </row>
    <row r="493">
      <c r="A493" s="138"/>
      <c r="B493" s="138"/>
      <c r="C493" s="138"/>
      <c r="D493" s="138"/>
      <c r="E493" s="138"/>
      <c r="F493" s="138"/>
      <c r="G493" s="138"/>
      <c r="H493" s="138"/>
      <c r="I493" s="138"/>
      <c r="J493" s="138"/>
      <c r="K493" s="138"/>
      <c r="L493" s="138"/>
      <c r="M493" s="138"/>
      <c r="N493" s="138"/>
      <c r="O493" s="138"/>
      <c r="P493" s="138"/>
    </row>
    <row r="494">
      <c r="A494" s="138"/>
      <c r="B494" s="138"/>
      <c r="C494" s="138"/>
      <c r="D494" s="138"/>
      <c r="E494" s="138"/>
      <c r="F494" s="138"/>
      <c r="G494" s="138"/>
      <c r="H494" s="138"/>
      <c r="I494" s="138"/>
      <c r="J494" s="138"/>
      <c r="K494" s="138"/>
      <c r="L494" s="138"/>
      <c r="M494" s="138"/>
      <c r="N494" s="138"/>
      <c r="O494" s="138"/>
      <c r="P494" s="138"/>
    </row>
    <row r="495">
      <c r="A495" s="138"/>
      <c r="B495" s="138"/>
      <c r="C495" s="138"/>
      <c r="D495" s="138"/>
      <c r="E495" s="138"/>
      <c r="F495" s="138"/>
      <c r="G495" s="138"/>
      <c r="H495" s="138"/>
      <c r="I495" s="138"/>
      <c r="J495" s="138"/>
      <c r="K495" s="138"/>
      <c r="L495" s="138"/>
      <c r="M495" s="138"/>
      <c r="N495" s="138"/>
      <c r="O495" s="138"/>
      <c r="P495" s="138"/>
    </row>
    <row r="496">
      <c r="A496" s="138"/>
      <c r="B496" s="138"/>
      <c r="C496" s="138"/>
      <c r="D496" s="138"/>
      <c r="E496" s="138"/>
      <c r="F496" s="138"/>
      <c r="G496" s="138"/>
      <c r="H496" s="138"/>
      <c r="I496" s="138"/>
      <c r="J496" s="138"/>
      <c r="K496" s="138"/>
      <c r="L496" s="138"/>
      <c r="M496" s="138"/>
      <c r="N496" s="138"/>
      <c r="O496" s="138"/>
      <c r="P496" s="138"/>
    </row>
    <row r="497">
      <c r="A497" s="138"/>
      <c r="B497" s="138"/>
      <c r="C497" s="138"/>
      <c r="D497" s="138"/>
      <c r="E497" s="138"/>
      <c r="F497" s="138"/>
      <c r="G497" s="138"/>
      <c r="H497" s="138"/>
      <c r="I497" s="138"/>
      <c r="J497" s="138"/>
      <c r="K497" s="138"/>
      <c r="L497" s="138"/>
      <c r="M497" s="138"/>
      <c r="N497" s="138"/>
      <c r="O497" s="138"/>
      <c r="P497" s="138"/>
    </row>
    <row r="498">
      <c r="A498" s="138"/>
      <c r="B498" s="138"/>
      <c r="C498" s="138"/>
      <c r="D498" s="138"/>
      <c r="E498" s="138"/>
      <c r="F498" s="138"/>
      <c r="G498" s="138"/>
      <c r="H498" s="138"/>
      <c r="I498" s="138"/>
      <c r="J498" s="138"/>
      <c r="K498" s="138"/>
      <c r="L498" s="138"/>
      <c r="M498" s="138"/>
      <c r="N498" s="138"/>
      <c r="O498" s="138"/>
      <c r="P498" s="138"/>
    </row>
    <row r="499">
      <c r="A499" s="138"/>
      <c r="B499" s="138"/>
      <c r="C499" s="138"/>
      <c r="D499" s="138"/>
      <c r="E499" s="138"/>
      <c r="F499" s="138"/>
      <c r="G499" s="138"/>
      <c r="H499" s="138"/>
      <c r="I499" s="138"/>
      <c r="J499" s="138"/>
      <c r="K499" s="138"/>
      <c r="L499" s="138"/>
      <c r="M499" s="138"/>
      <c r="N499" s="138"/>
      <c r="O499" s="138"/>
      <c r="P499" s="138"/>
    </row>
    <row r="500">
      <c r="A500" s="138"/>
      <c r="B500" s="138"/>
      <c r="C500" s="138"/>
      <c r="D500" s="138"/>
      <c r="E500" s="138"/>
      <c r="F500" s="138"/>
      <c r="G500" s="138"/>
      <c r="H500" s="138"/>
      <c r="I500" s="138"/>
      <c r="J500" s="138"/>
      <c r="K500" s="138"/>
      <c r="L500" s="138"/>
      <c r="M500" s="138"/>
      <c r="N500" s="138"/>
      <c r="O500" s="138"/>
      <c r="P500" s="138"/>
    </row>
    <row r="501">
      <c r="A501" s="138"/>
      <c r="B501" s="138"/>
      <c r="C501" s="138"/>
      <c r="D501" s="138"/>
      <c r="E501" s="138"/>
      <c r="F501" s="138"/>
      <c r="G501" s="138"/>
      <c r="H501" s="138"/>
      <c r="I501" s="138"/>
      <c r="J501" s="138"/>
      <c r="K501" s="138"/>
      <c r="L501" s="138"/>
      <c r="M501" s="138"/>
      <c r="N501" s="138"/>
      <c r="O501" s="138"/>
      <c r="P501" s="138"/>
    </row>
    <row r="502">
      <c r="A502" s="138"/>
      <c r="B502" s="138"/>
      <c r="C502" s="138"/>
      <c r="D502" s="138"/>
      <c r="E502" s="138"/>
      <c r="F502" s="138"/>
      <c r="G502" s="138"/>
      <c r="H502" s="138"/>
      <c r="I502" s="138"/>
      <c r="J502" s="138"/>
      <c r="K502" s="138"/>
      <c r="L502" s="138"/>
      <c r="M502" s="138"/>
      <c r="N502" s="138"/>
      <c r="O502" s="138"/>
      <c r="P502" s="138"/>
    </row>
    <row r="503">
      <c r="A503" s="138"/>
      <c r="B503" s="138"/>
      <c r="C503" s="138"/>
      <c r="D503" s="138"/>
      <c r="E503" s="138"/>
      <c r="F503" s="138"/>
      <c r="G503" s="138"/>
      <c r="H503" s="138"/>
      <c r="I503" s="138"/>
      <c r="J503" s="138"/>
      <c r="K503" s="138"/>
      <c r="L503" s="138"/>
      <c r="M503" s="138"/>
      <c r="N503" s="138"/>
      <c r="O503" s="138"/>
      <c r="P503" s="138"/>
    </row>
    <row r="504">
      <c r="A504" s="138"/>
      <c r="B504" s="138"/>
      <c r="C504" s="138"/>
      <c r="D504" s="138"/>
      <c r="E504" s="138"/>
      <c r="F504" s="138"/>
      <c r="G504" s="138"/>
      <c r="H504" s="138"/>
      <c r="I504" s="138"/>
      <c r="J504" s="138"/>
      <c r="K504" s="138"/>
      <c r="L504" s="138"/>
      <c r="M504" s="138"/>
      <c r="N504" s="138"/>
      <c r="O504" s="138"/>
      <c r="P504" s="138"/>
    </row>
    <row r="505">
      <c r="A505" s="138"/>
      <c r="B505" s="138"/>
      <c r="C505" s="138"/>
      <c r="D505" s="138"/>
      <c r="E505" s="138"/>
      <c r="F505" s="138"/>
      <c r="G505" s="138"/>
      <c r="H505" s="138"/>
      <c r="I505" s="138"/>
      <c r="J505" s="138"/>
      <c r="K505" s="138"/>
      <c r="L505" s="138"/>
      <c r="M505" s="138"/>
      <c r="N505" s="138"/>
      <c r="O505" s="138"/>
      <c r="P505" s="138"/>
    </row>
    <row r="506">
      <c r="A506" s="138"/>
      <c r="B506" s="138"/>
      <c r="C506" s="138"/>
      <c r="D506" s="138"/>
      <c r="E506" s="138"/>
      <c r="F506" s="138"/>
      <c r="G506" s="138"/>
      <c r="H506" s="138"/>
      <c r="I506" s="138"/>
      <c r="J506" s="138"/>
      <c r="K506" s="138"/>
      <c r="L506" s="138"/>
      <c r="M506" s="138"/>
      <c r="N506" s="138"/>
      <c r="O506" s="138"/>
      <c r="P506" s="138"/>
    </row>
    <row r="507">
      <c r="A507" s="138"/>
      <c r="B507" s="138"/>
      <c r="C507" s="138"/>
      <c r="D507" s="138"/>
      <c r="E507" s="138"/>
      <c r="F507" s="138"/>
      <c r="G507" s="138"/>
      <c r="H507" s="138"/>
      <c r="I507" s="138"/>
      <c r="J507" s="138"/>
      <c r="K507" s="138"/>
      <c r="L507" s="138"/>
      <c r="M507" s="138"/>
      <c r="N507" s="138"/>
      <c r="O507" s="138"/>
      <c r="P507" s="138"/>
    </row>
    <row r="508">
      <c r="A508" s="138"/>
      <c r="B508" s="138"/>
      <c r="C508" s="138"/>
      <c r="D508" s="138"/>
      <c r="E508" s="138"/>
      <c r="F508" s="138"/>
      <c r="G508" s="138"/>
      <c r="H508" s="138"/>
      <c r="I508" s="138"/>
      <c r="J508" s="138"/>
      <c r="K508" s="138"/>
      <c r="L508" s="138"/>
      <c r="M508" s="138"/>
      <c r="N508" s="138"/>
      <c r="O508" s="138"/>
      <c r="P508" s="138"/>
    </row>
    <row r="509">
      <c r="A509" s="138"/>
      <c r="B509" s="138"/>
      <c r="C509" s="138"/>
      <c r="D509" s="138"/>
      <c r="E509" s="138"/>
      <c r="F509" s="138"/>
      <c r="G509" s="138"/>
      <c r="H509" s="138"/>
      <c r="I509" s="138"/>
      <c r="J509" s="138"/>
      <c r="K509" s="138"/>
      <c r="L509" s="138"/>
      <c r="M509" s="138"/>
      <c r="N509" s="138"/>
      <c r="O509" s="138"/>
      <c r="P509" s="138"/>
    </row>
    <row r="510">
      <c r="A510" s="138"/>
      <c r="B510" s="138"/>
      <c r="C510" s="138"/>
      <c r="D510" s="138"/>
      <c r="E510" s="138"/>
      <c r="F510" s="138"/>
      <c r="G510" s="138"/>
      <c r="H510" s="138"/>
      <c r="I510" s="138"/>
      <c r="J510" s="138"/>
      <c r="K510" s="138"/>
      <c r="L510" s="138"/>
      <c r="M510" s="138"/>
      <c r="N510" s="138"/>
      <c r="O510" s="138"/>
      <c r="P510" s="138"/>
    </row>
    <row r="511">
      <c r="A511" s="138"/>
      <c r="B511" s="138"/>
      <c r="C511" s="138"/>
      <c r="D511" s="138"/>
      <c r="E511" s="138"/>
      <c r="F511" s="138"/>
      <c r="G511" s="138"/>
      <c r="H511" s="138"/>
      <c r="I511" s="138"/>
      <c r="J511" s="138"/>
      <c r="K511" s="138"/>
      <c r="L511" s="138"/>
      <c r="M511" s="138"/>
      <c r="N511" s="138"/>
      <c r="O511" s="138"/>
      <c r="P511" s="138"/>
    </row>
    <row r="512">
      <c r="A512" s="138"/>
      <c r="B512" s="138"/>
      <c r="C512" s="138"/>
      <c r="D512" s="138"/>
      <c r="E512" s="138"/>
      <c r="F512" s="138"/>
      <c r="G512" s="138"/>
      <c r="H512" s="138"/>
      <c r="I512" s="138"/>
      <c r="J512" s="138"/>
      <c r="K512" s="138"/>
      <c r="L512" s="138"/>
      <c r="M512" s="138"/>
      <c r="N512" s="138"/>
      <c r="O512" s="138"/>
      <c r="P512" s="138"/>
    </row>
    <row r="513">
      <c r="A513" s="138"/>
      <c r="B513" s="138"/>
      <c r="C513" s="138"/>
      <c r="D513" s="138"/>
      <c r="E513" s="138"/>
      <c r="F513" s="138"/>
      <c r="G513" s="138"/>
      <c r="H513" s="138"/>
      <c r="I513" s="138"/>
      <c r="J513" s="138"/>
      <c r="K513" s="138"/>
      <c r="L513" s="138"/>
      <c r="M513" s="138"/>
      <c r="N513" s="138"/>
      <c r="O513" s="138"/>
      <c r="P513" s="138"/>
    </row>
    <row r="514">
      <c r="A514" s="138"/>
      <c r="B514" s="138"/>
      <c r="C514" s="138"/>
      <c r="D514" s="138"/>
      <c r="E514" s="138"/>
      <c r="F514" s="138"/>
      <c r="G514" s="138"/>
      <c r="H514" s="138"/>
      <c r="I514" s="138"/>
      <c r="J514" s="138"/>
      <c r="K514" s="138"/>
      <c r="L514" s="138"/>
      <c r="M514" s="138"/>
      <c r="N514" s="138"/>
      <c r="O514" s="138"/>
      <c r="P514" s="138"/>
    </row>
    <row r="515">
      <c r="A515" s="138"/>
      <c r="B515" s="138"/>
      <c r="C515" s="138"/>
      <c r="D515" s="138"/>
      <c r="E515" s="138"/>
      <c r="F515" s="138"/>
      <c r="G515" s="138"/>
      <c r="H515" s="138"/>
      <c r="I515" s="138"/>
      <c r="J515" s="138"/>
      <c r="K515" s="138"/>
      <c r="L515" s="138"/>
      <c r="M515" s="138"/>
      <c r="N515" s="138"/>
      <c r="O515" s="138"/>
      <c r="P515" s="138"/>
    </row>
    <row r="516">
      <c r="A516" s="138"/>
      <c r="B516" s="138"/>
      <c r="C516" s="138"/>
      <c r="D516" s="138"/>
      <c r="E516" s="138"/>
      <c r="F516" s="138"/>
      <c r="G516" s="138"/>
      <c r="H516" s="138"/>
      <c r="I516" s="138"/>
      <c r="J516" s="138"/>
      <c r="K516" s="138"/>
      <c r="L516" s="138"/>
      <c r="M516" s="138"/>
      <c r="N516" s="138"/>
      <c r="O516" s="138"/>
      <c r="P516" s="138"/>
    </row>
    <row r="517">
      <c r="A517" s="138"/>
      <c r="B517" s="138"/>
      <c r="C517" s="138"/>
      <c r="D517" s="138"/>
      <c r="E517" s="138"/>
      <c r="F517" s="138"/>
      <c r="G517" s="138"/>
      <c r="H517" s="138"/>
      <c r="I517" s="138"/>
      <c r="J517" s="138"/>
      <c r="K517" s="138"/>
      <c r="L517" s="138"/>
      <c r="M517" s="138"/>
      <c r="N517" s="138"/>
      <c r="O517" s="138"/>
      <c r="P517" s="138"/>
    </row>
    <row r="518">
      <c r="A518" s="138"/>
      <c r="B518" s="138"/>
      <c r="C518" s="138"/>
      <c r="D518" s="138"/>
      <c r="E518" s="138"/>
      <c r="F518" s="138"/>
      <c r="G518" s="138"/>
      <c r="H518" s="138"/>
      <c r="I518" s="138"/>
      <c r="J518" s="138"/>
      <c r="K518" s="138"/>
      <c r="L518" s="138"/>
      <c r="M518" s="138"/>
      <c r="N518" s="138"/>
      <c r="O518" s="138"/>
      <c r="P518" s="138"/>
    </row>
    <row r="519">
      <c r="A519" s="138"/>
      <c r="B519" s="138"/>
      <c r="C519" s="138"/>
      <c r="D519" s="138"/>
      <c r="E519" s="138"/>
      <c r="F519" s="138"/>
      <c r="G519" s="138"/>
      <c r="H519" s="138"/>
      <c r="I519" s="138"/>
      <c r="J519" s="138"/>
      <c r="K519" s="138"/>
      <c r="L519" s="138"/>
      <c r="M519" s="138"/>
      <c r="N519" s="138"/>
      <c r="O519" s="138"/>
      <c r="P519" s="138"/>
    </row>
    <row r="520">
      <c r="A520" s="138"/>
      <c r="B520" s="138"/>
      <c r="C520" s="138"/>
      <c r="D520" s="138"/>
      <c r="E520" s="138"/>
      <c r="F520" s="138"/>
      <c r="G520" s="138"/>
      <c r="H520" s="138"/>
      <c r="I520" s="138"/>
      <c r="J520" s="138"/>
      <c r="K520" s="138"/>
      <c r="L520" s="138"/>
      <c r="M520" s="138"/>
      <c r="N520" s="138"/>
      <c r="O520" s="138"/>
      <c r="P520" s="138"/>
    </row>
    <row r="521">
      <c r="A521" s="138"/>
      <c r="B521" s="138"/>
      <c r="C521" s="138"/>
      <c r="D521" s="138"/>
      <c r="E521" s="138"/>
      <c r="F521" s="138"/>
      <c r="G521" s="138"/>
      <c r="H521" s="138"/>
      <c r="I521" s="138"/>
      <c r="J521" s="138"/>
      <c r="K521" s="138"/>
      <c r="L521" s="138"/>
      <c r="M521" s="138"/>
      <c r="N521" s="138"/>
      <c r="O521" s="138"/>
      <c r="P521" s="138"/>
    </row>
    <row r="522">
      <c r="A522" s="138"/>
      <c r="B522" s="138"/>
      <c r="C522" s="138"/>
      <c r="D522" s="138"/>
      <c r="E522" s="138"/>
      <c r="F522" s="138"/>
      <c r="G522" s="138"/>
      <c r="H522" s="138"/>
      <c r="I522" s="138"/>
      <c r="J522" s="138"/>
      <c r="K522" s="138"/>
      <c r="L522" s="138"/>
      <c r="M522" s="138"/>
      <c r="N522" s="138"/>
      <c r="O522" s="138"/>
      <c r="P522" s="138"/>
    </row>
    <row r="523">
      <c r="A523" s="138"/>
      <c r="B523" s="138"/>
      <c r="C523" s="138"/>
      <c r="D523" s="138"/>
      <c r="E523" s="138"/>
      <c r="F523" s="138"/>
      <c r="G523" s="138"/>
      <c r="H523" s="138"/>
      <c r="I523" s="138"/>
      <c r="J523" s="138"/>
      <c r="K523" s="138"/>
      <c r="L523" s="138"/>
      <c r="M523" s="138"/>
      <c r="N523" s="138"/>
      <c r="O523" s="138"/>
      <c r="P523" s="138"/>
    </row>
    <row r="524">
      <c r="A524" s="138"/>
      <c r="B524" s="138"/>
      <c r="C524" s="138"/>
      <c r="D524" s="138"/>
      <c r="E524" s="138"/>
      <c r="F524" s="138"/>
      <c r="G524" s="138"/>
      <c r="H524" s="138"/>
      <c r="I524" s="138"/>
      <c r="J524" s="138"/>
      <c r="K524" s="138"/>
      <c r="L524" s="138"/>
      <c r="M524" s="138"/>
      <c r="N524" s="138"/>
      <c r="O524" s="138"/>
      <c r="P524" s="138"/>
    </row>
    <row r="525">
      <c r="A525" s="138"/>
      <c r="B525" s="138"/>
      <c r="C525" s="138"/>
      <c r="D525" s="138"/>
      <c r="E525" s="138"/>
      <c r="F525" s="138"/>
      <c r="G525" s="138"/>
      <c r="H525" s="138"/>
      <c r="I525" s="138"/>
      <c r="J525" s="138"/>
      <c r="K525" s="138"/>
      <c r="L525" s="138"/>
      <c r="M525" s="138"/>
      <c r="N525" s="138"/>
      <c r="O525" s="138"/>
      <c r="P525" s="138"/>
    </row>
    <row r="526">
      <c r="A526" s="138"/>
      <c r="B526" s="138"/>
      <c r="C526" s="138"/>
      <c r="D526" s="138"/>
      <c r="E526" s="138"/>
      <c r="F526" s="138"/>
      <c r="G526" s="138"/>
      <c r="H526" s="138"/>
      <c r="I526" s="138"/>
      <c r="J526" s="138"/>
      <c r="K526" s="138"/>
      <c r="L526" s="138"/>
      <c r="M526" s="138"/>
      <c r="N526" s="138"/>
      <c r="O526" s="138"/>
      <c r="P526" s="138"/>
    </row>
    <row r="527">
      <c r="A527" s="138"/>
      <c r="B527" s="138"/>
      <c r="C527" s="138"/>
      <c r="D527" s="138"/>
      <c r="E527" s="138"/>
      <c r="F527" s="138"/>
      <c r="G527" s="138"/>
      <c r="H527" s="138"/>
      <c r="I527" s="138"/>
      <c r="J527" s="138"/>
      <c r="K527" s="138"/>
      <c r="L527" s="138"/>
      <c r="M527" s="138"/>
      <c r="N527" s="138"/>
      <c r="O527" s="138"/>
      <c r="P527" s="138"/>
    </row>
    <row r="528">
      <c r="A528" s="138"/>
      <c r="B528" s="138"/>
      <c r="C528" s="138"/>
      <c r="D528" s="138"/>
      <c r="E528" s="138"/>
      <c r="F528" s="138"/>
      <c r="G528" s="138"/>
      <c r="H528" s="138"/>
      <c r="I528" s="138"/>
      <c r="J528" s="138"/>
      <c r="K528" s="138"/>
      <c r="L528" s="138"/>
      <c r="M528" s="138"/>
      <c r="N528" s="138"/>
      <c r="O528" s="138"/>
      <c r="P528" s="138"/>
    </row>
    <row r="529">
      <c r="A529" s="138"/>
      <c r="B529" s="138"/>
      <c r="C529" s="138"/>
      <c r="D529" s="138"/>
      <c r="E529" s="138"/>
      <c r="F529" s="138"/>
      <c r="G529" s="138"/>
      <c r="H529" s="138"/>
      <c r="I529" s="138"/>
      <c r="J529" s="138"/>
      <c r="K529" s="138"/>
      <c r="L529" s="138"/>
      <c r="M529" s="138"/>
      <c r="N529" s="138"/>
      <c r="O529" s="138"/>
      <c r="P529" s="138"/>
    </row>
    <row r="530">
      <c r="A530" s="138"/>
      <c r="B530" s="138"/>
      <c r="C530" s="138"/>
      <c r="D530" s="138"/>
      <c r="E530" s="138"/>
      <c r="F530" s="138"/>
      <c r="G530" s="138"/>
      <c r="H530" s="138"/>
      <c r="I530" s="138"/>
      <c r="J530" s="138"/>
      <c r="K530" s="138"/>
      <c r="L530" s="138"/>
      <c r="M530" s="138"/>
      <c r="N530" s="138"/>
      <c r="O530" s="138"/>
      <c r="P530" s="138"/>
    </row>
    <row r="531">
      <c r="A531" s="138"/>
      <c r="B531" s="138"/>
      <c r="C531" s="138"/>
      <c r="D531" s="138"/>
      <c r="E531" s="138"/>
      <c r="F531" s="138"/>
      <c r="G531" s="138"/>
      <c r="H531" s="138"/>
      <c r="I531" s="138"/>
      <c r="J531" s="138"/>
      <c r="K531" s="138"/>
      <c r="L531" s="138"/>
      <c r="M531" s="138"/>
      <c r="N531" s="138"/>
      <c r="O531" s="138"/>
      <c r="P531" s="138"/>
    </row>
    <row r="532">
      <c r="A532" s="138"/>
      <c r="B532" s="138"/>
      <c r="C532" s="138"/>
      <c r="D532" s="138"/>
      <c r="E532" s="138"/>
      <c r="F532" s="138"/>
      <c r="G532" s="138"/>
      <c r="H532" s="138"/>
      <c r="I532" s="138"/>
      <c r="J532" s="138"/>
      <c r="K532" s="138"/>
      <c r="L532" s="138"/>
      <c r="M532" s="138"/>
      <c r="N532" s="138"/>
      <c r="O532" s="138"/>
      <c r="P532" s="138"/>
    </row>
    <row r="533">
      <c r="A533" s="138"/>
      <c r="B533" s="138"/>
      <c r="C533" s="138"/>
      <c r="D533" s="138"/>
      <c r="E533" s="138"/>
      <c r="F533" s="138"/>
      <c r="G533" s="138"/>
      <c r="H533" s="138"/>
      <c r="I533" s="138"/>
      <c r="J533" s="138"/>
      <c r="K533" s="138"/>
      <c r="L533" s="138"/>
      <c r="M533" s="138"/>
      <c r="N533" s="138"/>
      <c r="O533" s="138"/>
      <c r="P533" s="138"/>
    </row>
    <row r="534">
      <c r="A534" s="138"/>
      <c r="B534" s="138"/>
      <c r="C534" s="138"/>
      <c r="D534" s="138"/>
      <c r="E534" s="138"/>
      <c r="F534" s="138"/>
      <c r="G534" s="138"/>
      <c r="H534" s="138"/>
      <c r="I534" s="138"/>
      <c r="J534" s="138"/>
      <c r="K534" s="138"/>
      <c r="L534" s="138"/>
      <c r="M534" s="138"/>
      <c r="N534" s="138"/>
      <c r="O534" s="138"/>
      <c r="P534" s="138"/>
    </row>
    <row r="535">
      <c r="A535" s="138"/>
      <c r="B535" s="138"/>
      <c r="C535" s="138"/>
      <c r="D535" s="138"/>
      <c r="E535" s="138"/>
      <c r="F535" s="138"/>
      <c r="G535" s="138"/>
      <c r="H535" s="138"/>
      <c r="I535" s="138"/>
      <c r="J535" s="138"/>
      <c r="K535" s="138"/>
      <c r="L535" s="138"/>
      <c r="M535" s="138"/>
      <c r="N535" s="138"/>
      <c r="O535" s="138"/>
      <c r="P535" s="138"/>
    </row>
    <row r="536">
      <c r="A536" s="138"/>
      <c r="B536" s="138"/>
      <c r="C536" s="138"/>
      <c r="D536" s="138"/>
      <c r="E536" s="138"/>
      <c r="F536" s="138"/>
      <c r="G536" s="138"/>
      <c r="H536" s="138"/>
      <c r="I536" s="138"/>
      <c r="J536" s="138"/>
      <c r="K536" s="138"/>
      <c r="L536" s="138"/>
      <c r="M536" s="138"/>
      <c r="N536" s="138"/>
      <c r="O536" s="138"/>
      <c r="P536" s="138"/>
    </row>
    <row r="537">
      <c r="A537" s="138"/>
      <c r="B537" s="138"/>
      <c r="C537" s="138"/>
      <c r="D537" s="138"/>
      <c r="E537" s="138"/>
      <c r="F537" s="138"/>
      <c r="G537" s="138"/>
      <c r="H537" s="138"/>
      <c r="I537" s="138"/>
      <c r="J537" s="138"/>
      <c r="K537" s="138"/>
      <c r="L537" s="138"/>
      <c r="M537" s="138"/>
      <c r="N537" s="138"/>
      <c r="O537" s="138"/>
      <c r="P537" s="138"/>
    </row>
    <row r="538">
      <c r="A538" s="138"/>
      <c r="B538" s="138"/>
      <c r="C538" s="138"/>
      <c r="D538" s="138"/>
      <c r="E538" s="138"/>
      <c r="F538" s="138"/>
      <c r="G538" s="138"/>
      <c r="H538" s="138"/>
      <c r="I538" s="138"/>
      <c r="J538" s="138"/>
      <c r="K538" s="138"/>
      <c r="L538" s="138"/>
      <c r="M538" s="138"/>
      <c r="N538" s="138"/>
      <c r="O538" s="138"/>
      <c r="P538" s="138"/>
    </row>
    <row r="539">
      <c r="A539" s="138"/>
      <c r="B539" s="138"/>
      <c r="C539" s="138"/>
      <c r="D539" s="138"/>
      <c r="E539" s="138"/>
      <c r="F539" s="138"/>
      <c r="G539" s="138"/>
      <c r="H539" s="138"/>
      <c r="I539" s="138"/>
      <c r="J539" s="138"/>
      <c r="K539" s="138"/>
      <c r="L539" s="138"/>
      <c r="M539" s="138"/>
      <c r="N539" s="138"/>
      <c r="O539" s="138"/>
      <c r="P539" s="138"/>
    </row>
  </sheetData>
  <hyperlinks>
    <hyperlink r:id="rId1" ref="P5"/>
    <hyperlink r:id="rId2" ref="P6"/>
    <hyperlink r:id="rId3" ref="P9"/>
  </hyperlinks>
  <drawing r:id="rId4"/>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3187</v>
      </c>
    </row>
    <row r="2">
      <c r="A2" s="1" t="s">
        <v>45</v>
      </c>
    </row>
    <row r="3">
      <c r="A3" s="1" t="s">
        <v>3820</v>
      </c>
    </row>
    <row r="4">
      <c r="A4" s="1" t="s">
        <v>1541</v>
      </c>
    </row>
    <row r="5">
      <c r="A5" s="1" t="s">
        <v>5676</v>
      </c>
    </row>
    <row r="6">
      <c r="A6" s="1" t="s">
        <v>272</v>
      </c>
    </row>
    <row r="7">
      <c r="A7" s="1" t="s">
        <v>41</v>
      </c>
    </row>
    <row r="8">
      <c r="A8" s="1" t="s">
        <v>6079</v>
      </c>
    </row>
    <row r="9">
      <c r="A9" s="1" t="s">
        <v>18</v>
      </c>
    </row>
    <row r="10">
      <c r="A10" s="1" t="s">
        <v>6080</v>
      </c>
    </row>
    <row r="11">
      <c r="A11" s="1" t="s">
        <v>5543</v>
      </c>
    </row>
    <row r="12">
      <c r="A12" s="1" t="s">
        <v>3758</v>
      </c>
    </row>
    <row r="13">
      <c r="A13" s="1" t="s">
        <v>6081</v>
      </c>
    </row>
    <row r="14">
      <c r="A14" s="1" t="s">
        <v>6082</v>
      </c>
    </row>
    <row r="15">
      <c r="A15" s="1" t="s">
        <v>6083</v>
      </c>
    </row>
    <row r="16">
      <c r="A16" s="1" t="s">
        <v>259</v>
      </c>
    </row>
    <row r="17">
      <c r="A17" s="1" t="s">
        <v>1340</v>
      </c>
    </row>
    <row r="18">
      <c r="A18" s="1" t="s">
        <v>708</v>
      </c>
    </row>
    <row r="19">
      <c r="A19" s="1" t="s">
        <v>234</v>
      </c>
    </row>
    <row r="20">
      <c r="A20" s="1" t="s">
        <v>407</v>
      </c>
    </row>
    <row r="21">
      <c r="A21" s="1" t="s">
        <v>850</v>
      </c>
    </row>
    <row r="22">
      <c r="A22" s="1" t="s">
        <v>2329</v>
      </c>
    </row>
    <row r="23">
      <c r="A23" s="1" t="s">
        <v>34</v>
      </c>
    </row>
    <row r="24">
      <c r="A24" s="1" t="s">
        <v>137</v>
      </c>
    </row>
    <row r="25">
      <c r="A25" s="1" t="s">
        <v>6084</v>
      </c>
    </row>
    <row r="26">
      <c r="A26" s="1" t="s">
        <v>372</v>
      </c>
    </row>
    <row r="27">
      <c r="A27" s="1" t="s">
        <v>6085</v>
      </c>
    </row>
    <row r="28">
      <c r="A28" s="1" t="s">
        <v>144</v>
      </c>
    </row>
    <row r="29">
      <c r="A29" s="1" t="s">
        <v>253</v>
      </c>
    </row>
    <row r="30">
      <c r="A30" s="1" t="s">
        <v>1532</v>
      </c>
    </row>
    <row r="31">
      <c r="A31" s="1" t="s">
        <v>972</v>
      </c>
    </row>
    <row r="32">
      <c r="A32" s="1" t="s">
        <v>305</v>
      </c>
    </row>
    <row r="33">
      <c r="A33" s="1" t="s">
        <v>295</v>
      </c>
    </row>
    <row r="34">
      <c r="A34" s="1" t="s">
        <v>85</v>
      </c>
    </row>
    <row r="35">
      <c r="A35" s="1" t="s">
        <v>102</v>
      </c>
    </row>
    <row r="36">
      <c r="A36" s="1" t="s">
        <v>187</v>
      </c>
    </row>
    <row r="37">
      <c r="A37" s="1" t="s">
        <v>6086</v>
      </c>
    </row>
    <row r="38">
      <c r="A38" s="1" t="s">
        <v>6087</v>
      </c>
    </row>
    <row r="39">
      <c r="A39" s="1" t="s">
        <v>903</v>
      </c>
    </row>
    <row r="40">
      <c r="A40" s="1" t="s">
        <v>4477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59.25"/>
    <col customWidth="1" min="3" max="3" width="53.0"/>
    <col customWidth="1" min="5" max="5" width="16.38"/>
    <col customWidth="1" min="6" max="6" width="17.75"/>
    <col customWidth="1" min="7" max="9" width="13.88"/>
    <col customWidth="1" min="10" max="10" width="26.88"/>
    <col customWidth="1" min="11" max="11" width="15.25"/>
    <col customWidth="1" min="12" max="12" width="9.88"/>
    <col customWidth="1" min="13" max="13" width="15.5"/>
    <col customWidth="1" min="14" max="14" width="11.13"/>
  </cols>
  <sheetData>
    <row r="1">
      <c r="A1" s="31" t="s">
        <v>0</v>
      </c>
      <c r="B1" s="32" t="s">
        <v>1</v>
      </c>
      <c r="C1" s="2" t="s">
        <v>2</v>
      </c>
      <c r="D1" s="32" t="s">
        <v>3</v>
      </c>
      <c r="E1" s="32" t="s">
        <v>4</v>
      </c>
      <c r="F1" s="32" t="s">
        <v>5</v>
      </c>
      <c r="G1" s="1" t="s">
        <v>6</v>
      </c>
      <c r="H1" s="32" t="s">
        <v>7</v>
      </c>
      <c r="I1" s="32" t="s">
        <v>8</v>
      </c>
      <c r="J1" s="32" t="s">
        <v>9</v>
      </c>
      <c r="K1" s="33" t="s">
        <v>10</v>
      </c>
      <c r="L1" s="33" t="s">
        <v>11</v>
      </c>
      <c r="M1" s="33" t="s">
        <v>12</v>
      </c>
      <c r="N1" s="33" t="s">
        <v>13</v>
      </c>
      <c r="O1" s="34" t="s">
        <v>696</v>
      </c>
    </row>
    <row r="2">
      <c r="A2" s="35">
        <v>10450.0</v>
      </c>
      <c r="B2" s="36" t="s">
        <v>697</v>
      </c>
      <c r="C2" s="36" t="str">
        <f>IFERROR(__xludf.DUMMYFUNCTION("GOOGLETRANSLATE(B2)"),"Decree No. 10,431, of July 20, 2020")</f>
        <v>Decree No. 10,431, of July 20, 2020</v>
      </c>
      <c r="D2" s="36" t="s">
        <v>698</v>
      </c>
      <c r="E2" s="36" t="s">
        <v>699</v>
      </c>
      <c r="F2" s="36" t="s">
        <v>18</v>
      </c>
      <c r="G2" s="36"/>
      <c r="H2" s="36">
        <v>2020.0</v>
      </c>
      <c r="I2" s="36" t="s">
        <v>700</v>
      </c>
      <c r="J2" s="37" t="s">
        <v>701</v>
      </c>
      <c r="K2" s="38" t="s">
        <v>702</v>
      </c>
      <c r="L2" s="39" t="s">
        <v>703</v>
      </c>
      <c r="M2" s="39"/>
      <c r="N2" s="40" t="s">
        <v>229</v>
      </c>
      <c r="O2" s="41"/>
    </row>
    <row r="3">
      <c r="A3" s="42">
        <v>10450.0</v>
      </c>
      <c r="B3" s="43" t="s">
        <v>704</v>
      </c>
      <c r="C3" s="36" t="str">
        <f>IFERROR(__xludf.DUMMYFUNCTION("GOOGLETRANSLATE(B3)"),"Resolution No. 3,896")</f>
        <v>Resolution No. 3,896</v>
      </c>
      <c r="D3" s="44" t="s">
        <v>698</v>
      </c>
      <c r="E3" s="44" t="s">
        <v>699</v>
      </c>
      <c r="F3" s="44" t="s">
        <v>137</v>
      </c>
      <c r="G3" s="44"/>
      <c r="H3" s="44">
        <v>2010.0</v>
      </c>
      <c r="I3" s="44" t="s">
        <v>700</v>
      </c>
      <c r="J3" s="45" t="s">
        <v>705</v>
      </c>
      <c r="K3" s="38" t="s">
        <v>706</v>
      </c>
      <c r="L3" s="39" t="s">
        <v>703</v>
      </c>
      <c r="M3" s="39"/>
      <c r="N3" s="39" t="s">
        <v>23</v>
      </c>
      <c r="O3" s="46"/>
    </row>
    <row r="4">
      <c r="A4" s="42">
        <v>10450.0</v>
      </c>
      <c r="B4" s="47" t="s">
        <v>707</v>
      </c>
      <c r="C4" s="36" t="str">
        <f>IFERROR(__xludf.DUMMYFUNCTION("GOOGLETRANSLATE(B4)"),"Interministerial Ordinance Map/MDA No. 984, of October 8, 2013")</f>
        <v>Interministerial Ordinance Map/MDA No. 984, of October 8, 2013</v>
      </c>
      <c r="D4" s="44" t="s">
        <v>698</v>
      </c>
      <c r="E4" s="44" t="s">
        <v>699</v>
      </c>
      <c r="F4" s="44" t="s">
        <v>708</v>
      </c>
      <c r="G4" s="44"/>
      <c r="H4" s="44">
        <v>2013.0</v>
      </c>
      <c r="I4" s="44" t="s">
        <v>700</v>
      </c>
      <c r="J4" s="48" t="s">
        <v>709</v>
      </c>
      <c r="K4" s="38" t="s">
        <v>710</v>
      </c>
      <c r="L4" s="39" t="s">
        <v>703</v>
      </c>
      <c r="M4" s="39"/>
      <c r="N4" s="39" t="s">
        <v>275</v>
      </c>
      <c r="O4" s="46"/>
    </row>
    <row r="5">
      <c r="A5" s="42">
        <v>10450.0</v>
      </c>
      <c r="B5" s="49" t="s">
        <v>711</v>
      </c>
      <c r="C5" s="36" t="str">
        <f>IFERROR(__xludf.DUMMYFUNCTION("GOOGLETRANSLATE(B5)"),"Map Ordinance No. 230, of 21.10.2015")</f>
        <v>Map Ordinance No. 230, of 21.10.2015</v>
      </c>
      <c r="D5" s="44" t="s">
        <v>698</v>
      </c>
      <c r="E5" s="44" t="s">
        <v>699</v>
      </c>
      <c r="F5" s="44" t="s">
        <v>708</v>
      </c>
      <c r="G5" s="44"/>
      <c r="H5" s="44">
        <v>2015.0</v>
      </c>
      <c r="I5" s="44" t="s">
        <v>700</v>
      </c>
      <c r="J5" s="50" t="s">
        <v>712</v>
      </c>
      <c r="K5" s="38" t="s">
        <v>713</v>
      </c>
      <c r="L5" s="39" t="s">
        <v>703</v>
      </c>
      <c r="M5" s="39"/>
      <c r="N5" s="40" t="s">
        <v>229</v>
      </c>
      <c r="O5" s="46"/>
    </row>
    <row r="6">
      <c r="A6" s="35">
        <v>10453.0</v>
      </c>
      <c r="B6" s="36" t="s">
        <v>714</v>
      </c>
      <c r="C6" s="36" t="str">
        <f>IFERROR(__xludf.DUMMYFUNCTION("GOOGLETRANSLATE(B6)"),"Decree No. 9,888, of June 27, 2019")</f>
        <v>Decree No. 9,888, of June 27, 2019</v>
      </c>
      <c r="D6" s="36" t="s">
        <v>698</v>
      </c>
      <c r="E6" s="36" t="s">
        <v>699</v>
      </c>
      <c r="F6" s="36" t="s">
        <v>18</v>
      </c>
      <c r="G6" s="36"/>
      <c r="H6" s="36">
        <v>2019.0</v>
      </c>
      <c r="I6" s="36" t="s">
        <v>700</v>
      </c>
      <c r="J6" s="51" t="s">
        <v>715</v>
      </c>
      <c r="K6" s="38" t="s">
        <v>716</v>
      </c>
      <c r="L6" s="39" t="s">
        <v>703</v>
      </c>
      <c r="M6" s="39"/>
      <c r="N6" s="39" t="s">
        <v>37</v>
      </c>
      <c r="O6" s="41"/>
    </row>
    <row r="7">
      <c r="A7" s="42">
        <v>10453.0</v>
      </c>
      <c r="B7" s="52" t="s">
        <v>717</v>
      </c>
      <c r="C7" s="36" t="str">
        <f>IFERROR(__xludf.DUMMYFUNCTION("GOOGLETRANSLATE(B7)"),"Resolution No. 791, of June 12, 2019")</f>
        <v>Resolution No. 791, of June 12, 2019</v>
      </c>
      <c r="D7" s="44" t="s">
        <v>698</v>
      </c>
      <c r="E7" s="44" t="s">
        <v>699</v>
      </c>
      <c r="F7" s="44" t="s">
        <v>137</v>
      </c>
      <c r="G7" s="44"/>
      <c r="H7" s="44">
        <v>2019.0</v>
      </c>
      <c r="I7" s="44" t="s">
        <v>700</v>
      </c>
      <c r="J7" s="50" t="s">
        <v>718</v>
      </c>
      <c r="K7" s="38" t="s">
        <v>719</v>
      </c>
      <c r="L7" s="39" t="s">
        <v>703</v>
      </c>
      <c r="M7" s="39"/>
      <c r="N7" s="40" t="s">
        <v>229</v>
      </c>
      <c r="O7" s="46"/>
    </row>
    <row r="8">
      <c r="A8" s="35">
        <v>10458.0</v>
      </c>
      <c r="B8" s="36" t="s">
        <v>720</v>
      </c>
      <c r="C8" s="36" t="str">
        <f>IFERROR(__xludf.DUMMYFUNCTION("GOOGLETRANSLATE(B8)"),"Interministerial Ordinance MCT/MMA No. 356, of 25.09.2009")</f>
        <v>Interministerial Ordinance MCT/MMA No. 356, of 25.09.2009</v>
      </c>
      <c r="D8" s="36" t="s">
        <v>698</v>
      </c>
      <c r="E8" s="36" t="s">
        <v>699</v>
      </c>
      <c r="F8" s="36" t="s">
        <v>708</v>
      </c>
      <c r="G8" s="36"/>
      <c r="H8" s="36">
        <v>2009.0</v>
      </c>
      <c r="I8" s="36" t="s">
        <v>700</v>
      </c>
      <c r="J8" s="36" t="s">
        <v>721</v>
      </c>
      <c r="K8" s="38" t="s">
        <v>722</v>
      </c>
      <c r="L8" s="39" t="s">
        <v>703</v>
      </c>
      <c r="M8" s="39"/>
      <c r="N8" s="39" t="s">
        <v>23</v>
      </c>
      <c r="O8" s="53"/>
    </row>
    <row r="9">
      <c r="A9" s="42">
        <v>10460.0</v>
      </c>
      <c r="B9" s="44" t="s">
        <v>723</v>
      </c>
      <c r="C9" s="36" t="str">
        <f>IFERROR(__xludf.DUMMYFUNCTION("GOOGLETRANSLATE(B9)"),"Ordinance No. 100, December 1, 2015")</f>
        <v>Ordinance No. 100, December 1, 2015</v>
      </c>
      <c r="D9" s="44" t="s">
        <v>698</v>
      </c>
      <c r="E9" s="44" t="s">
        <v>699</v>
      </c>
      <c r="F9" s="44" t="s">
        <v>708</v>
      </c>
      <c r="G9" s="44"/>
      <c r="H9" s="44">
        <v>2015.0</v>
      </c>
      <c r="I9" s="44" t="s">
        <v>700</v>
      </c>
      <c r="J9" s="54" t="s">
        <v>724</v>
      </c>
      <c r="K9" s="38" t="s">
        <v>725</v>
      </c>
      <c r="L9" s="39" t="s">
        <v>703</v>
      </c>
      <c r="M9" s="39"/>
      <c r="N9" s="40" t="s">
        <v>726</v>
      </c>
      <c r="O9" s="46"/>
    </row>
    <row r="10">
      <c r="A10" s="42">
        <v>10460.0</v>
      </c>
      <c r="B10" s="44" t="s">
        <v>727</v>
      </c>
      <c r="C10" s="36" t="str">
        <f>IFERROR(__xludf.DUMMYFUNCTION("GOOGLETRANSLATE(B10)"),"ENREDD+ National Strategy to reduce emissions from deforestation and forest degradation, conservation of forest carbon stocks, sustainable forest management and increased forest carbon stocks")</f>
        <v>ENREDD+ National Strategy to reduce emissions from deforestation and forest degradation, conservation of forest carbon stocks, sustainable forest management and increased forest carbon stocks</v>
      </c>
      <c r="D10" s="44" t="s">
        <v>698</v>
      </c>
      <c r="E10" s="44" t="s">
        <v>699</v>
      </c>
      <c r="F10" s="44" t="s">
        <v>144</v>
      </c>
      <c r="G10" s="44"/>
      <c r="H10" s="44">
        <v>2016.0</v>
      </c>
      <c r="I10" s="44" t="s">
        <v>700</v>
      </c>
      <c r="J10" s="50" t="s">
        <v>728</v>
      </c>
      <c r="K10" s="38" t="s">
        <v>729</v>
      </c>
      <c r="L10" s="39" t="s">
        <v>703</v>
      </c>
      <c r="M10" s="39"/>
      <c r="N10" s="39" t="s">
        <v>37</v>
      </c>
      <c r="O10" s="46"/>
    </row>
    <row r="11">
      <c r="A11" s="42">
        <v>9863.0</v>
      </c>
      <c r="B11" s="44" t="s">
        <v>730</v>
      </c>
      <c r="C11" s="36" t="str">
        <f>IFERROR(__xludf.DUMMYFUNCTION("GOOGLETRANSLATE(B11)"),"Brunei Darussalam National Climate Change Policy")</f>
        <v>Brunei Darussalam National Climate Change Policy</v>
      </c>
      <c r="D11" s="44" t="s">
        <v>731</v>
      </c>
      <c r="E11" s="44" t="s">
        <v>732</v>
      </c>
      <c r="F11" s="44" t="s">
        <v>407</v>
      </c>
      <c r="G11" s="44"/>
      <c r="H11" s="44">
        <v>2020.0</v>
      </c>
      <c r="I11" s="44" t="s">
        <v>24</v>
      </c>
      <c r="J11" s="55" t="s">
        <v>733</v>
      </c>
      <c r="K11" s="38" t="s">
        <v>733</v>
      </c>
      <c r="L11" s="39" t="s">
        <v>703</v>
      </c>
      <c r="M11" s="39"/>
      <c r="N11" s="40" t="s">
        <v>92</v>
      </c>
      <c r="O11" s="46"/>
    </row>
    <row r="12">
      <c r="A12" s="42">
        <v>1101.0</v>
      </c>
      <c r="B12" s="43" t="s">
        <v>734</v>
      </c>
      <c r="C12" s="36" t="str">
        <f>IFERROR(__xludf.DUMMYFUNCTION("GOOGLETRANSLATE(B12)"),"Climate Change Law")</f>
        <v>Climate Change Law</v>
      </c>
      <c r="D12" s="44" t="s">
        <v>735</v>
      </c>
      <c r="E12" s="44" t="s">
        <v>736</v>
      </c>
      <c r="F12" s="44" t="s">
        <v>45</v>
      </c>
      <c r="G12" s="44"/>
      <c r="H12" s="44">
        <v>2015.0</v>
      </c>
      <c r="I12" s="44" t="s">
        <v>737</v>
      </c>
      <c r="J12" s="44" t="s">
        <v>738</v>
      </c>
      <c r="K12" s="38" t="s">
        <v>739</v>
      </c>
      <c r="L12" s="39" t="s">
        <v>703</v>
      </c>
      <c r="M12" s="39"/>
      <c r="N12" s="39" t="s">
        <v>23</v>
      </c>
      <c r="O12" s="46"/>
    </row>
    <row r="13">
      <c r="A13" s="42">
        <v>1101.0</v>
      </c>
      <c r="B13" s="44" t="s">
        <v>740</v>
      </c>
      <c r="C13" s="36" t="str">
        <f>IFERROR(__xludf.DUMMYFUNCTION("GOOGLETRANSLATE(B13)"),"Climate Change Mitigation Act")</f>
        <v>Climate Change Mitigation Act</v>
      </c>
      <c r="D13" s="44" t="s">
        <v>735</v>
      </c>
      <c r="E13" s="44" t="s">
        <v>736</v>
      </c>
      <c r="F13" s="44" t="s">
        <v>45</v>
      </c>
      <c r="G13" s="44"/>
      <c r="H13" s="44">
        <v>2017.0</v>
      </c>
      <c r="I13" s="44" t="s">
        <v>24</v>
      </c>
      <c r="J13" s="50" t="s">
        <v>741</v>
      </c>
      <c r="K13" s="38" t="s">
        <v>742</v>
      </c>
      <c r="L13" s="39" t="s">
        <v>703</v>
      </c>
      <c r="M13" s="39"/>
      <c r="N13" s="39" t="s">
        <v>23</v>
      </c>
      <c r="O13" s="46"/>
    </row>
    <row r="14">
      <c r="A14" s="42">
        <v>1102.0</v>
      </c>
      <c r="B14" s="44" t="s">
        <v>743</v>
      </c>
      <c r="C14" s="36" t="str">
        <f>IFERROR(__xludf.DUMMYFUNCTION("GOOGLETRANSLATE(B14)"),"Forest law")</f>
        <v>Forest law</v>
      </c>
      <c r="D14" s="44" t="s">
        <v>735</v>
      </c>
      <c r="E14" s="44" t="s">
        <v>736</v>
      </c>
      <c r="F14" s="44" t="s">
        <v>45</v>
      </c>
      <c r="G14" s="44"/>
      <c r="H14" s="44">
        <v>2017.0</v>
      </c>
      <c r="I14" s="44" t="s">
        <v>737</v>
      </c>
      <c r="J14" s="44" t="s">
        <v>744</v>
      </c>
      <c r="K14" s="38" t="s">
        <v>745</v>
      </c>
      <c r="L14" s="39" t="s">
        <v>703</v>
      </c>
      <c r="M14" s="39"/>
      <c r="N14" s="39" t="s">
        <v>23</v>
      </c>
      <c r="O14" s="46"/>
    </row>
    <row r="15">
      <c r="A15" s="42">
        <v>1102.0</v>
      </c>
      <c r="B15" s="44" t="s">
        <v>746</v>
      </c>
      <c r="C15" s="36" t="str">
        <f>IFERROR(__xludf.DUMMYFUNCTION("GOOGLETRANSLATE(B15)"),"Forestry Act")</f>
        <v>Forestry Act</v>
      </c>
      <c r="D15" s="44" t="s">
        <v>735</v>
      </c>
      <c r="E15" s="44" t="s">
        <v>736</v>
      </c>
      <c r="F15" s="44" t="s">
        <v>45</v>
      </c>
      <c r="G15" s="44"/>
      <c r="H15" s="44">
        <v>2012.0</v>
      </c>
      <c r="I15" s="44" t="s">
        <v>24</v>
      </c>
      <c r="J15" s="50" t="s">
        <v>747</v>
      </c>
      <c r="K15" s="38" t="s">
        <v>748</v>
      </c>
      <c r="L15" s="39" t="s">
        <v>703</v>
      </c>
      <c r="M15" s="39"/>
      <c r="N15" s="39" t="s">
        <v>23</v>
      </c>
      <c r="O15" s="46"/>
    </row>
    <row r="16">
      <c r="A16" s="42">
        <v>1103.0</v>
      </c>
      <c r="B16" s="43" t="s">
        <v>749</v>
      </c>
      <c r="C16" s="36" t="str">
        <f>IFERROR(__xludf.DUMMYFUNCTION("GOOGLETRANSLATE(B16)"),"Renewable Energy Act")</f>
        <v>Renewable Energy Act</v>
      </c>
      <c r="D16" s="44" t="s">
        <v>735</v>
      </c>
      <c r="E16" s="44" t="s">
        <v>736</v>
      </c>
      <c r="F16" s="44" t="s">
        <v>45</v>
      </c>
      <c r="G16" s="44"/>
      <c r="H16" s="44">
        <v>2015.0</v>
      </c>
      <c r="I16" s="44" t="s">
        <v>737</v>
      </c>
      <c r="J16" s="44" t="s">
        <v>750</v>
      </c>
      <c r="K16" s="38" t="s">
        <v>751</v>
      </c>
      <c r="L16" s="39" t="s">
        <v>703</v>
      </c>
      <c r="M16" s="39"/>
      <c r="N16" s="39" t="s">
        <v>23</v>
      </c>
      <c r="O16" s="46"/>
    </row>
    <row r="17">
      <c r="A17" s="42">
        <v>1103.0</v>
      </c>
      <c r="B17" s="44" t="s">
        <v>752</v>
      </c>
      <c r="C17" s="36" t="str">
        <f>IFERROR(__xludf.DUMMYFUNCTION("GOOGLETRANSLATE(B17)"),"Energy from Renewable Sources Act")</f>
        <v>Energy from Renewable Sources Act</v>
      </c>
      <c r="D17" s="44" t="s">
        <v>735</v>
      </c>
      <c r="E17" s="44" t="s">
        <v>736</v>
      </c>
      <c r="F17" s="44" t="s">
        <v>45</v>
      </c>
      <c r="G17" s="44"/>
      <c r="H17" s="44">
        <v>2013.0</v>
      </c>
      <c r="I17" s="44" t="s">
        <v>24</v>
      </c>
      <c r="J17" s="50" t="s">
        <v>753</v>
      </c>
      <c r="K17" s="38" t="s">
        <v>754</v>
      </c>
      <c r="L17" s="39" t="s">
        <v>703</v>
      </c>
      <c r="M17" s="39"/>
      <c r="N17" s="39" t="s">
        <v>23</v>
      </c>
      <c r="O17" s="46"/>
    </row>
    <row r="18">
      <c r="A18" s="42">
        <v>1107.0</v>
      </c>
      <c r="B18" s="43" t="s">
        <v>755</v>
      </c>
      <c r="C18" s="36" t="str">
        <f>IFERROR(__xludf.DUMMYFUNCTION("GOOGLETRANSLATE(B18)"),"Energy Efficiency Act")</f>
        <v>Energy Efficiency Act</v>
      </c>
      <c r="D18" s="44" t="s">
        <v>735</v>
      </c>
      <c r="E18" s="44" t="s">
        <v>736</v>
      </c>
      <c r="F18" s="44" t="s">
        <v>45</v>
      </c>
      <c r="G18" s="44"/>
      <c r="H18" s="44">
        <v>2015.0</v>
      </c>
      <c r="I18" s="44" t="s">
        <v>737</v>
      </c>
      <c r="J18" s="44" t="s">
        <v>756</v>
      </c>
      <c r="K18" s="38" t="s">
        <v>757</v>
      </c>
      <c r="L18" s="39" t="s">
        <v>703</v>
      </c>
      <c r="M18" s="39"/>
      <c r="N18" s="39" t="s">
        <v>23</v>
      </c>
      <c r="O18" s="46"/>
    </row>
    <row r="19">
      <c r="A19" s="42">
        <v>1107.0</v>
      </c>
      <c r="B19" s="44" t="s">
        <v>758</v>
      </c>
      <c r="C19" s="36" t="str">
        <f>IFERROR(__xludf.DUMMYFUNCTION("GOOGLETRANSLATE(B19)"),"Energy Efficiency Act")</f>
        <v>Energy Efficiency Act</v>
      </c>
      <c r="D19" s="44" t="s">
        <v>735</v>
      </c>
      <c r="E19" s="44" t="s">
        <v>736</v>
      </c>
      <c r="F19" s="44" t="s">
        <v>45</v>
      </c>
      <c r="G19" s="44"/>
      <c r="H19" s="44">
        <v>2013.0</v>
      </c>
      <c r="I19" s="44" t="s">
        <v>24</v>
      </c>
      <c r="J19" s="50" t="s">
        <v>759</v>
      </c>
      <c r="K19" s="38" t="s">
        <v>760</v>
      </c>
      <c r="L19" s="39" t="s">
        <v>703</v>
      </c>
      <c r="M19" s="39"/>
      <c r="N19" s="39" t="s">
        <v>23</v>
      </c>
      <c r="O19" s="46"/>
    </row>
    <row r="20">
      <c r="A20" s="42">
        <v>1109.0</v>
      </c>
      <c r="B20" s="43" t="s">
        <v>761</v>
      </c>
      <c r="C20" s="36" t="str">
        <f>IFERROR(__xludf.DUMMYFUNCTION("GOOGLETRANSLATE(B20)"),"Energy Act")</f>
        <v>Energy Act</v>
      </c>
      <c r="D20" s="44" t="s">
        <v>735</v>
      </c>
      <c r="E20" s="44" t="s">
        <v>736</v>
      </c>
      <c r="F20" s="44" t="s">
        <v>45</v>
      </c>
      <c r="G20" s="44"/>
      <c r="H20" s="44">
        <v>2016.0</v>
      </c>
      <c r="I20" s="44" t="s">
        <v>737</v>
      </c>
      <c r="J20" s="44" t="s">
        <v>762</v>
      </c>
      <c r="K20" s="38" t="s">
        <v>763</v>
      </c>
      <c r="L20" s="39" t="s">
        <v>703</v>
      </c>
      <c r="M20" s="39"/>
      <c r="N20" s="39" t="s">
        <v>23</v>
      </c>
      <c r="O20" s="46"/>
    </row>
    <row r="21">
      <c r="A21" s="42">
        <v>1109.0</v>
      </c>
      <c r="B21" s="43" t="s">
        <v>764</v>
      </c>
      <c r="C21" s="36" t="str">
        <f>IFERROR(__xludf.DUMMYFUNCTION("GOOGLETRANSLATE(B21)"),"Energy Strategy of the Republic of Bulgaria until 2020 for reliable, efficient and cleaner
Energy")</f>
        <v>Energy Strategy of the Republic of Bulgaria until 2020 for reliable, efficient and cleaner
Energy</v>
      </c>
      <c r="D21" s="44" t="s">
        <v>735</v>
      </c>
      <c r="E21" s="44" t="s">
        <v>736</v>
      </c>
      <c r="F21" s="44" t="s">
        <v>144</v>
      </c>
      <c r="G21" s="44"/>
      <c r="H21" s="44">
        <v>2011.0</v>
      </c>
      <c r="I21" s="44" t="s">
        <v>737</v>
      </c>
      <c r="J21" s="50" t="s">
        <v>765</v>
      </c>
      <c r="K21" s="38" t="s">
        <v>766</v>
      </c>
      <c r="L21" s="39" t="s">
        <v>703</v>
      </c>
      <c r="M21" s="39"/>
      <c r="N21" s="39" t="s">
        <v>23</v>
      </c>
      <c r="O21" s="46"/>
    </row>
    <row r="22">
      <c r="A22" s="42">
        <v>1109.0</v>
      </c>
      <c r="B22" s="44" t="s">
        <v>767</v>
      </c>
      <c r="C22" s="36" t="str">
        <f>IFERROR(__xludf.DUMMYFUNCTION("GOOGLETRANSLATE(B22)"),"Energy Act")</f>
        <v>Energy Act</v>
      </c>
      <c r="D22" s="44" t="s">
        <v>735</v>
      </c>
      <c r="E22" s="44" t="s">
        <v>736</v>
      </c>
      <c r="F22" s="44" t="s">
        <v>45</v>
      </c>
      <c r="G22" s="44"/>
      <c r="H22" s="44">
        <v>2015.0</v>
      </c>
      <c r="I22" s="44" t="s">
        <v>24</v>
      </c>
      <c r="J22" s="50" t="s">
        <v>768</v>
      </c>
      <c r="K22" s="38" t="s">
        <v>769</v>
      </c>
      <c r="L22" s="39" t="s">
        <v>703</v>
      </c>
      <c r="M22" s="39"/>
      <c r="N22" s="39" t="s">
        <v>23</v>
      </c>
      <c r="O22" s="46"/>
    </row>
    <row r="23">
      <c r="A23" s="42">
        <v>1109.0</v>
      </c>
      <c r="B23" s="44" t="s">
        <v>770</v>
      </c>
      <c r="C23" s="36" t="str">
        <f>IFERROR(__xludf.DUMMYFUNCTION("GOOGLETRANSLATE(B23)"),"Energy Strategy of the Republic of Bulgaria till 2020 for Reliable, Efficient and Cleaner Energy")</f>
        <v>Energy Strategy of the Republic of Bulgaria till 2020 for Reliable, Efficient and Cleaner Energy</v>
      </c>
      <c r="D23" s="44" t="s">
        <v>735</v>
      </c>
      <c r="E23" s="44" t="s">
        <v>736</v>
      </c>
      <c r="F23" s="44" t="s">
        <v>144</v>
      </c>
      <c r="G23" s="44"/>
      <c r="H23" s="44">
        <v>2011.0</v>
      </c>
      <c r="I23" s="44" t="s">
        <v>24</v>
      </c>
      <c r="J23" s="50" t="s">
        <v>771</v>
      </c>
      <c r="K23" s="38" t="s">
        <v>772</v>
      </c>
      <c r="L23" s="39" t="s">
        <v>703</v>
      </c>
      <c r="M23" s="39"/>
      <c r="N23" s="39" t="s">
        <v>23</v>
      </c>
      <c r="O23" s="46"/>
    </row>
    <row r="24">
      <c r="A24" s="42">
        <v>1110.0</v>
      </c>
      <c r="B24" s="43" t="s">
        <v>773</v>
      </c>
      <c r="C24" s="36" t="str">
        <f>IFERROR(__xludf.DUMMYFUNCTION("GOOGLETRANSLATE(B24)"),"Spatial Planning Act")</f>
        <v>Spatial Planning Act</v>
      </c>
      <c r="D24" s="44" t="s">
        <v>735</v>
      </c>
      <c r="E24" s="44" t="s">
        <v>736</v>
      </c>
      <c r="F24" s="44" t="s">
        <v>45</v>
      </c>
      <c r="G24" s="44"/>
      <c r="H24" s="44">
        <v>2017.0</v>
      </c>
      <c r="I24" s="44" t="s">
        <v>737</v>
      </c>
      <c r="J24" s="44" t="s">
        <v>774</v>
      </c>
      <c r="K24" s="38" t="s">
        <v>775</v>
      </c>
      <c r="L24" s="39" t="s">
        <v>703</v>
      </c>
      <c r="M24" s="39"/>
      <c r="N24" s="39" t="s">
        <v>23</v>
      </c>
      <c r="O24" s="46"/>
    </row>
    <row r="25">
      <c r="A25" s="42">
        <v>1110.0</v>
      </c>
      <c r="B25" s="44" t="s">
        <v>776</v>
      </c>
      <c r="C25" s="36" t="str">
        <f>IFERROR(__xludf.DUMMYFUNCTION("GOOGLETRANSLATE(B25)"),"Spatial Planning Act")</f>
        <v>Spatial Planning Act</v>
      </c>
      <c r="D25" s="44" t="s">
        <v>735</v>
      </c>
      <c r="E25" s="44" t="s">
        <v>736</v>
      </c>
      <c r="F25" s="44" t="s">
        <v>45</v>
      </c>
      <c r="G25" s="44"/>
      <c r="H25" s="44">
        <v>2017.0</v>
      </c>
      <c r="I25" s="44" t="s">
        <v>24</v>
      </c>
      <c r="J25" s="50" t="s">
        <v>777</v>
      </c>
      <c r="K25" s="38" t="s">
        <v>778</v>
      </c>
      <c r="L25" s="39" t="s">
        <v>703</v>
      </c>
      <c r="M25" s="39"/>
      <c r="N25" s="39" t="s">
        <v>23</v>
      </c>
      <c r="O25" s="46"/>
    </row>
    <row r="26">
      <c r="A26" s="42">
        <v>9495.0</v>
      </c>
      <c r="B26" s="44" t="s">
        <v>779</v>
      </c>
      <c r="C26" s="44" t="str">
        <f>IFERROR(__xludf.DUMMYFUNCTION("GOOGLETRANSLATE(B26)"),"Integrated Energy and Climate Plan of the Republic of Bulgaria 2021 - 2030")</f>
        <v>Integrated Energy and Climate Plan of the Republic of Bulgaria 2021 - 2030</v>
      </c>
      <c r="D26" s="44" t="s">
        <v>735</v>
      </c>
      <c r="E26" s="44" t="s">
        <v>736</v>
      </c>
      <c r="F26" s="44" t="s">
        <v>234</v>
      </c>
      <c r="G26" s="56"/>
      <c r="H26" s="56">
        <v>2019.0</v>
      </c>
      <c r="I26" s="44" t="s">
        <v>24</v>
      </c>
      <c r="J26" s="44" t="s">
        <v>780</v>
      </c>
      <c r="K26" s="38" t="s">
        <v>781</v>
      </c>
      <c r="L26" s="39" t="s">
        <v>703</v>
      </c>
      <c r="M26" s="39"/>
      <c r="N26" s="39" t="s">
        <v>23</v>
      </c>
      <c r="O26" s="43"/>
    </row>
    <row r="27">
      <c r="A27" s="42">
        <v>9495.0</v>
      </c>
      <c r="B27" s="43" t="s">
        <v>782</v>
      </c>
      <c r="C27" s="44" t="str">
        <f>IFERROR(__xludf.DUMMYFUNCTION("GOOGLETRANSLATE(B27)"),"Integrated Energy and Climate Plan of the Republic of Bulgaria 2021 - 2030.")</f>
        <v>Integrated Energy and Climate Plan of the Republic of Bulgaria 2021 - 2030.</v>
      </c>
      <c r="D27" s="44" t="s">
        <v>735</v>
      </c>
      <c r="E27" s="44" t="s">
        <v>736</v>
      </c>
      <c r="F27" s="44" t="s">
        <v>234</v>
      </c>
      <c r="G27" s="56"/>
      <c r="H27" s="56">
        <v>2019.0</v>
      </c>
      <c r="I27" s="44" t="s">
        <v>737</v>
      </c>
      <c r="J27" s="47" t="s">
        <v>783</v>
      </c>
      <c r="K27" s="38" t="s">
        <v>784</v>
      </c>
      <c r="L27" s="39" t="s">
        <v>703</v>
      </c>
      <c r="M27" s="39"/>
      <c r="N27" s="39" t="s">
        <v>23</v>
      </c>
      <c r="O27" s="43"/>
    </row>
    <row r="28">
      <c r="A28" s="57">
        <v>10493.0</v>
      </c>
      <c r="B28" s="58" t="s">
        <v>785</v>
      </c>
      <c r="C28" s="59" t="str">
        <f>IFERROR(__xludf.DUMMYFUNCTION("GOOGLETRANSLATE(B28)"),"National Recovery and Sustainability Plan")</f>
        <v>National Recovery and Sustainability Plan</v>
      </c>
      <c r="D28" s="59" t="s">
        <v>735</v>
      </c>
      <c r="E28" s="59" t="s">
        <v>736</v>
      </c>
      <c r="F28" s="59" t="s">
        <v>234</v>
      </c>
      <c r="G28" s="59" t="s">
        <v>234</v>
      </c>
      <c r="H28" s="59"/>
      <c r="I28" s="59" t="s">
        <v>737</v>
      </c>
      <c r="J28" s="59" t="s">
        <v>786</v>
      </c>
      <c r="K28" s="60" t="s">
        <v>787</v>
      </c>
      <c r="L28" s="61" t="s">
        <v>703</v>
      </c>
      <c r="M28" s="61"/>
      <c r="N28" s="61" t="s">
        <v>326</v>
      </c>
      <c r="O28" s="62" t="s">
        <v>788</v>
      </c>
    </row>
    <row r="29">
      <c r="A29" s="42">
        <v>10493.0</v>
      </c>
      <c r="B29" s="44" t="s">
        <v>789</v>
      </c>
      <c r="C29" s="36" t="str">
        <f>IFERROR(__xludf.DUMMYFUNCTION("GOOGLETRANSLATE(B29)"),"National Recovery and Resilience Plan of the Republic of Bulgaria")</f>
        <v>National Recovery and Resilience Plan of the Republic of Bulgaria</v>
      </c>
      <c r="D29" s="44" t="s">
        <v>735</v>
      </c>
      <c r="E29" s="44" t="s">
        <v>736</v>
      </c>
      <c r="F29" s="44" t="s">
        <v>234</v>
      </c>
      <c r="G29" s="44"/>
      <c r="H29" s="44">
        <v>2021.0</v>
      </c>
      <c r="I29" s="44" t="s">
        <v>24</v>
      </c>
      <c r="J29" s="50" t="s">
        <v>790</v>
      </c>
      <c r="K29" s="38" t="s">
        <v>791</v>
      </c>
      <c r="L29" s="39" t="s">
        <v>703</v>
      </c>
      <c r="M29" s="39"/>
      <c r="N29" s="40" t="s">
        <v>92</v>
      </c>
      <c r="O29" s="46"/>
    </row>
    <row r="30">
      <c r="A30" s="57">
        <v>10493.0</v>
      </c>
      <c r="B30" s="59" t="s">
        <v>792</v>
      </c>
      <c r="C30" s="59" t="str">
        <f>IFERROR(__xludf.DUMMYFUNCTION("GOOGLETRANSLATE(B30)"),"Recovery and resilience plan for Bulgaria")</f>
        <v>Recovery and resilience plan for Bulgaria</v>
      </c>
      <c r="D30" s="59" t="s">
        <v>735</v>
      </c>
      <c r="E30" s="59" t="s">
        <v>736</v>
      </c>
      <c r="F30" s="59" t="s">
        <v>234</v>
      </c>
      <c r="G30" s="59" t="s">
        <v>234</v>
      </c>
      <c r="H30" s="59"/>
      <c r="I30" s="59" t="s">
        <v>24</v>
      </c>
      <c r="J30" s="63" t="s">
        <v>791</v>
      </c>
      <c r="K30" s="60" t="s">
        <v>793</v>
      </c>
      <c r="L30" s="61" t="s">
        <v>703</v>
      </c>
      <c r="M30" s="61"/>
      <c r="N30" s="61" t="s">
        <v>23</v>
      </c>
      <c r="O30" s="62" t="s">
        <v>794</v>
      </c>
    </row>
    <row r="31">
      <c r="A31" s="35">
        <v>9961.0</v>
      </c>
      <c r="B31" s="36" t="s">
        <v>795</v>
      </c>
      <c r="C31" s="36" t="str">
        <f>IFERROR(__xludf.DUMMYFUNCTION("GOOGLETRANSLATE(B31)"),"National Strategic Development Plan 2019 - 2023")</f>
        <v>National Strategic Development Plan 2019 - 2023</v>
      </c>
      <c r="D31" s="36" t="s">
        <v>796</v>
      </c>
      <c r="E31" s="36" t="s">
        <v>797</v>
      </c>
      <c r="F31" s="36" t="s">
        <v>798</v>
      </c>
      <c r="G31" s="36"/>
      <c r="H31" s="36">
        <v>2019.0</v>
      </c>
      <c r="I31" s="36" t="s">
        <v>24</v>
      </c>
      <c r="J31" s="36" t="s">
        <v>799</v>
      </c>
      <c r="K31" s="38" t="s">
        <v>800</v>
      </c>
      <c r="L31" s="39" t="s">
        <v>703</v>
      </c>
      <c r="M31" s="39"/>
      <c r="N31" s="39" t="s">
        <v>23</v>
      </c>
      <c r="O31" s="41"/>
    </row>
    <row r="32">
      <c r="A32" s="35">
        <v>9961.0</v>
      </c>
      <c r="B32" s="41" t="s">
        <v>801</v>
      </c>
      <c r="C32" s="36" t="str">
        <f>IFERROR(__xludf.DUMMYFUNCTION("GOOGLETRANSLATE(B32)"),"National Development Strategic Plan 2019-2023")</f>
        <v>National Development Strategic Plan 2019-2023</v>
      </c>
      <c r="D32" s="36" t="s">
        <v>796</v>
      </c>
      <c r="E32" s="36" t="s">
        <v>797</v>
      </c>
      <c r="F32" s="36" t="s">
        <v>798</v>
      </c>
      <c r="G32" s="36"/>
      <c r="H32" s="36">
        <v>2019.0</v>
      </c>
      <c r="I32" s="36" t="s">
        <v>802</v>
      </c>
      <c r="J32" s="53" t="s">
        <v>803</v>
      </c>
      <c r="K32" s="38" t="s">
        <v>804</v>
      </c>
      <c r="L32" s="39" t="s">
        <v>703</v>
      </c>
      <c r="M32" s="39"/>
      <c r="N32" s="39" t="s">
        <v>37</v>
      </c>
      <c r="O32" s="41"/>
    </row>
    <row r="33">
      <c r="A33" s="42">
        <v>1816.0</v>
      </c>
      <c r="B33" s="44" t="s">
        <v>805</v>
      </c>
      <c r="C33" s="36" t="str">
        <f>IFERROR(__xludf.DUMMYFUNCTION("GOOGLETRANSLATE(B33)"),"Cameroon Vision 2035")</f>
        <v>Cameroon Vision 2035</v>
      </c>
      <c r="D33" s="44" t="s">
        <v>806</v>
      </c>
      <c r="E33" s="44" t="s">
        <v>807</v>
      </c>
      <c r="F33" s="44" t="s">
        <v>253</v>
      </c>
      <c r="G33" s="44"/>
      <c r="H33" s="44">
        <v>2009.0</v>
      </c>
      <c r="I33" s="44" t="s">
        <v>24</v>
      </c>
      <c r="J33" s="44" t="s">
        <v>808</v>
      </c>
      <c r="K33" s="38" t="s">
        <v>809</v>
      </c>
      <c r="L33" s="39" t="s">
        <v>703</v>
      </c>
      <c r="M33" s="39"/>
      <c r="N33" s="39" t="s">
        <v>23</v>
      </c>
      <c r="O33" s="46"/>
    </row>
    <row r="34">
      <c r="A34" s="42">
        <v>1816.0</v>
      </c>
      <c r="B34" s="44" t="s">
        <v>810</v>
      </c>
      <c r="C34" s="36" t="str">
        <f>IFERROR(__xludf.DUMMYFUNCTION("GOOGLETRANSLATE(B34)"),"Cameroon Vision 20350")</f>
        <v>Cameroon Vision 20350</v>
      </c>
      <c r="D34" s="44" t="s">
        <v>806</v>
      </c>
      <c r="E34" s="44" t="s">
        <v>807</v>
      </c>
      <c r="F34" s="44" t="s">
        <v>253</v>
      </c>
      <c r="G34" s="44"/>
      <c r="H34" s="44">
        <v>2009.0</v>
      </c>
      <c r="I34" s="44" t="s">
        <v>811</v>
      </c>
      <c r="J34" s="50" t="s">
        <v>812</v>
      </c>
      <c r="K34" s="38" t="s">
        <v>813</v>
      </c>
      <c r="L34" s="39" t="s">
        <v>703</v>
      </c>
      <c r="M34" s="39"/>
      <c r="N34" s="39" t="s">
        <v>23</v>
      </c>
      <c r="O34" s="46"/>
    </row>
    <row r="35">
      <c r="A35" s="64">
        <v>2062.0</v>
      </c>
      <c r="B35" s="65" t="s">
        <v>814</v>
      </c>
      <c r="C35" s="65" t="str">
        <f>IFERROR(__xludf.DUMMYFUNCTION("GOOGLETRANSLATE(B35)"),"Guidance Document - Heavy-duty Vehicle and Engine Greenhouse Gas Emission Regulations")</f>
        <v>Guidance Document - Heavy-duty Vehicle and Engine Greenhouse Gas Emission Regulations</v>
      </c>
      <c r="D35" s="65" t="s">
        <v>815</v>
      </c>
      <c r="E35" s="65" t="s">
        <v>816</v>
      </c>
      <c r="F35" s="66" t="s">
        <v>34</v>
      </c>
      <c r="G35" s="65" t="s">
        <v>34</v>
      </c>
      <c r="H35" s="65">
        <v>2015.0</v>
      </c>
      <c r="I35" s="65" t="s">
        <v>24</v>
      </c>
      <c r="J35" s="65" t="s">
        <v>817</v>
      </c>
      <c r="K35" s="67" t="s">
        <v>818</v>
      </c>
      <c r="L35" s="68" t="s">
        <v>703</v>
      </c>
      <c r="M35" s="68"/>
      <c r="N35" s="68" t="s">
        <v>23</v>
      </c>
      <c r="O35" s="69" t="s">
        <v>819</v>
      </c>
    </row>
    <row r="36">
      <c r="A36" s="64">
        <v>2062.0</v>
      </c>
      <c r="B36" s="65" t="s">
        <v>820</v>
      </c>
      <c r="C36" s="65" t="str">
        <f>IFERROR(__xludf.DUMMYFUNCTION("GOOGLETRANSLATE(B36)"),"Heavy-duty Vehicle and Engine Greenhouse Gas Emission Regulations SOR/2013-24")</f>
        <v>Heavy-duty Vehicle and Engine Greenhouse Gas Emission Regulations SOR/2013-24</v>
      </c>
      <c r="D36" s="65" t="s">
        <v>815</v>
      </c>
      <c r="E36" s="65" t="s">
        <v>816</v>
      </c>
      <c r="F36" s="65" t="s">
        <v>34</v>
      </c>
      <c r="G36" s="65"/>
      <c r="H36" s="65">
        <v>2018.0</v>
      </c>
      <c r="I36" s="65" t="s">
        <v>24</v>
      </c>
      <c r="J36" s="70" t="s">
        <v>821</v>
      </c>
      <c r="K36" s="67" t="s">
        <v>822</v>
      </c>
      <c r="L36" s="68" t="s">
        <v>703</v>
      </c>
      <c r="M36" s="68"/>
      <c r="N36" s="68" t="s">
        <v>275</v>
      </c>
      <c r="O36" s="69" t="s">
        <v>823</v>
      </c>
    </row>
    <row r="37">
      <c r="A37" s="71">
        <v>2063.0</v>
      </c>
      <c r="B37" s="56" t="s">
        <v>824</v>
      </c>
      <c r="C37" s="72" t="s">
        <v>825</v>
      </c>
      <c r="D37" s="56" t="s">
        <v>815</v>
      </c>
      <c r="E37" s="56" t="s">
        <v>816</v>
      </c>
      <c r="F37" s="56" t="s">
        <v>34</v>
      </c>
      <c r="G37" s="56"/>
      <c r="H37" s="56">
        <v>2015.0</v>
      </c>
      <c r="I37" s="56" t="s">
        <v>811</v>
      </c>
      <c r="J37" s="56" t="s">
        <v>826</v>
      </c>
      <c r="K37" s="73" t="s">
        <v>827</v>
      </c>
      <c r="L37" s="74" t="s">
        <v>703</v>
      </c>
      <c r="M37" s="75" t="s">
        <v>24</v>
      </c>
      <c r="N37" s="74" t="s">
        <v>23</v>
      </c>
      <c r="O37" s="76" t="s">
        <v>828</v>
      </c>
    </row>
    <row r="38">
      <c r="A38" s="64">
        <v>2063.0</v>
      </c>
      <c r="B38" s="65" t="s">
        <v>825</v>
      </c>
      <c r="C38" s="65" t="str">
        <f>IFERROR(__xludf.DUMMYFUNCTION("GOOGLETRANSLATE(B38)"),"Reduction of Carbon Dioxide Emissions from Coal-fired Generation of Electricity Regulations (SOR/2012-167)")</f>
        <v>Reduction of Carbon Dioxide Emissions from Coal-fired Generation of Electricity Regulations (SOR/2012-167)</v>
      </c>
      <c r="D38" s="65" t="s">
        <v>815</v>
      </c>
      <c r="E38" s="65" t="s">
        <v>816</v>
      </c>
      <c r="F38" s="65" t="s">
        <v>34</v>
      </c>
      <c r="G38" s="65"/>
      <c r="H38" s="65">
        <v>2018.0</v>
      </c>
      <c r="I38" s="65" t="s">
        <v>24</v>
      </c>
      <c r="J38" s="70" t="s">
        <v>829</v>
      </c>
      <c r="K38" s="67" t="s">
        <v>830</v>
      </c>
      <c r="L38" s="68" t="s">
        <v>703</v>
      </c>
      <c r="M38" s="68"/>
      <c r="N38" s="68" t="s">
        <v>275</v>
      </c>
      <c r="O38" s="69" t="s">
        <v>823</v>
      </c>
    </row>
    <row r="39">
      <c r="A39" s="71">
        <v>2064.0</v>
      </c>
      <c r="B39" s="56" t="s">
        <v>831</v>
      </c>
      <c r="C39" s="72" t="s">
        <v>832</v>
      </c>
      <c r="D39" s="56" t="s">
        <v>815</v>
      </c>
      <c r="E39" s="56" t="s">
        <v>816</v>
      </c>
      <c r="F39" s="56" t="s">
        <v>34</v>
      </c>
      <c r="G39" s="56"/>
      <c r="H39" s="56">
        <v>2015.0</v>
      </c>
      <c r="I39" s="56" t="s">
        <v>811</v>
      </c>
      <c r="J39" s="56" t="s">
        <v>833</v>
      </c>
      <c r="K39" s="73" t="s">
        <v>834</v>
      </c>
      <c r="L39" s="74" t="s">
        <v>703</v>
      </c>
      <c r="M39" s="75" t="s">
        <v>24</v>
      </c>
      <c r="N39" s="74" t="s">
        <v>23</v>
      </c>
      <c r="O39" s="76" t="s">
        <v>828</v>
      </c>
    </row>
    <row r="40">
      <c r="A40" s="64">
        <v>2064.0</v>
      </c>
      <c r="B40" s="65" t="s">
        <v>835</v>
      </c>
      <c r="C40" s="65" t="str">
        <f>IFERROR(__xludf.DUMMYFUNCTION("GOOGLETRANSLATE(B40)"),"Discussion Paper on the Mid-Term Evaluation of the Passenger Automobile and Light Truck Greenhouse Gas Emission Regulations")</f>
        <v>Discussion Paper on the Mid-Term Evaluation of the Passenger Automobile and Light Truck Greenhouse Gas Emission Regulations</v>
      </c>
      <c r="D40" s="65" t="s">
        <v>815</v>
      </c>
      <c r="E40" s="65" t="s">
        <v>816</v>
      </c>
      <c r="F40" s="65" t="s">
        <v>836</v>
      </c>
      <c r="G40" s="65"/>
      <c r="H40" s="65">
        <v>2018.0</v>
      </c>
      <c r="I40" s="65" t="s">
        <v>24</v>
      </c>
      <c r="J40" s="70" t="s">
        <v>837</v>
      </c>
      <c r="K40" s="67" t="s">
        <v>838</v>
      </c>
      <c r="L40" s="68" t="s">
        <v>703</v>
      </c>
      <c r="M40" s="68"/>
      <c r="N40" s="68" t="s">
        <v>839</v>
      </c>
      <c r="O40" s="69" t="s">
        <v>823</v>
      </c>
    </row>
    <row r="41">
      <c r="A41" s="64">
        <v>2064.0</v>
      </c>
      <c r="B41" s="65" t="s">
        <v>840</v>
      </c>
      <c r="C41" s="65" t="str">
        <f>IFERROR(__xludf.DUMMYFUNCTION("GOOGLETRANSLATE(B41)"),"Passenger Automobile and Light TRUCK Greenhouse Gas Emission Regulations (SOR/2010-201)")</f>
        <v>Passenger Automobile and Light TRUCK Greenhouse Gas Emission Regulations (SOR/2010-201)</v>
      </c>
      <c r="D41" s="65" t="s">
        <v>815</v>
      </c>
      <c r="E41" s="65" t="s">
        <v>816</v>
      </c>
      <c r="F41" s="65" t="s">
        <v>34</v>
      </c>
      <c r="G41" s="65"/>
      <c r="H41" s="65">
        <v>2018.0</v>
      </c>
      <c r="I41" s="65" t="s">
        <v>24</v>
      </c>
      <c r="J41" s="70" t="s">
        <v>841</v>
      </c>
      <c r="K41" s="67" t="s">
        <v>842</v>
      </c>
      <c r="L41" s="68" t="s">
        <v>703</v>
      </c>
      <c r="M41" s="68"/>
      <c r="N41" s="68" t="s">
        <v>275</v>
      </c>
      <c r="O41" s="69" t="s">
        <v>823</v>
      </c>
    </row>
    <row r="42">
      <c r="A42" s="71">
        <v>2065.0</v>
      </c>
      <c r="B42" s="56" t="s">
        <v>843</v>
      </c>
      <c r="C42" s="72" t="s">
        <v>844</v>
      </c>
      <c r="D42" s="56" t="s">
        <v>815</v>
      </c>
      <c r="E42" s="56" t="s">
        <v>816</v>
      </c>
      <c r="F42" s="56" t="s">
        <v>34</v>
      </c>
      <c r="G42" s="56"/>
      <c r="H42" s="56">
        <v>2013.0</v>
      </c>
      <c r="I42" s="56" t="s">
        <v>811</v>
      </c>
      <c r="J42" s="56" t="s">
        <v>845</v>
      </c>
      <c r="K42" s="73" t="s">
        <v>846</v>
      </c>
      <c r="L42" s="74" t="s">
        <v>703</v>
      </c>
      <c r="M42" s="75" t="s">
        <v>24</v>
      </c>
      <c r="N42" s="74" t="s">
        <v>23</v>
      </c>
      <c r="O42" s="76" t="s">
        <v>828</v>
      </c>
    </row>
    <row r="43">
      <c r="A43" s="64">
        <v>2065.0</v>
      </c>
      <c r="B43" s="65" t="s">
        <v>844</v>
      </c>
      <c r="C43" s="65" t="str">
        <f>IFERROR(__xludf.DUMMYFUNCTION("GOOGLETRANSLATE(B43)"),"Renewable Fuels Regulations (SOR/2010-189)")</f>
        <v>Renewable Fuels Regulations (SOR/2010-189)</v>
      </c>
      <c r="D43" s="65" t="s">
        <v>815</v>
      </c>
      <c r="E43" s="65" t="s">
        <v>816</v>
      </c>
      <c r="F43" s="65" t="s">
        <v>34</v>
      </c>
      <c r="G43" s="65"/>
      <c r="H43" s="65">
        <v>2013.0</v>
      </c>
      <c r="I43" s="65" t="s">
        <v>24</v>
      </c>
      <c r="J43" s="70" t="s">
        <v>847</v>
      </c>
      <c r="K43" s="67" t="s">
        <v>848</v>
      </c>
      <c r="L43" s="68" t="s">
        <v>703</v>
      </c>
      <c r="M43" s="68"/>
      <c r="N43" s="68" t="s">
        <v>275</v>
      </c>
      <c r="O43" s="69" t="s">
        <v>823</v>
      </c>
    </row>
    <row r="44">
      <c r="A44" s="42">
        <v>9538.0</v>
      </c>
      <c r="B44" s="44" t="s">
        <v>849</v>
      </c>
      <c r="C44" s="44" t="str">
        <f>IFERROR(__xludf.DUMMYFUNCTION("GOOGLETRANSLATE(B44)"),"Greenhouse Gas Reporting Program Canada's Greenhouse Gas Quantification Requirements")</f>
        <v>Greenhouse Gas Reporting Program Canada's Greenhouse Gas Quantification Requirements</v>
      </c>
      <c r="D44" s="44" t="s">
        <v>815</v>
      </c>
      <c r="E44" s="44" t="s">
        <v>816</v>
      </c>
      <c r="F44" s="44" t="s">
        <v>850</v>
      </c>
      <c r="G44" s="44"/>
      <c r="H44" s="44">
        <v>2017.0</v>
      </c>
      <c r="I44" s="44" t="s">
        <v>24</v>
      </c>
      <c r="J44" s="44" t="s">
        <v>851</v>
      </c>
      <c r="K44" s="38" t="s">
        <v>852</v>
      </c>
      <c r="L44" s="39" t="s">
        <v>703</v>
      </c>
      <c r="M44" s="39"/>
      <c r="N44" s="39" t="s">
        <v>23</v>
      </c>
      <c r="O44" s="46"/>
    </row>
    <row r="45">
      <c r="A45" s="57">
        <v>9538.0</v>
      </c>
      <c r="B45" s="59" t="s">
        <v>853</v>
      </c>
      <c r="C45" s="59" t="str">
        <f>IFERROR(__xludf.DUMMYFUNCTION("GOOGLETRANSLATE(B45)"),"About the Greenhouse Gas Reporting Program")</f>
        <v>About the Greenhouse Gas Reporting Program</v>
      </c>
      <c r="D45" s="59" t="s">
        <v>815</v>
      </c>
      <c r="E45" s="59" t="s">
        <v>816</v>
      </c>
      <c r="F45" s="59" t="s">
        <v>850</v>
      </c>
      <c r="G45" s="59" t="s">
        <v>850</v>
      </c>
      <c r="H45" s="59">
        <v>2019.0</v>
      </c>
      <c r="I45" s="59" t="s">
        <v>24</v>
      </c>
      <c r="J45" s="77" t="s">
        <v>854</v>
      </c>
      <c r="K45" s="60" t="s">
        <v>855</v>
      </c>
      <c r="L45" s="61" t="s">
        <v>703</v>
      </c>
      <c r="M45" s="61"/>
      <c r="N45" s="61" t="s">
        <v>839</v>
      </c>
      <c r="O45" s="62" t="s">
        <v>856</v>
      </c>
    </row>
    <row r="46" ht="18.75" customHeight="1">
      <c r="A46" s="64">
        <v>9540.0</v>
      </c>
      <c r="B46" s="65" t="s">
        <v>857</v>
      </c>
      <c r="C46" s="65" t="str">
        <f>IFERROR(__xludf.DUMMYFUNCTION("GOOGLETRANSLATE(B46)"),"Regulations Limiting Carbon Dioxide Emissions from Natural Gas-fired Generation of Electricity (SOR/2018-261)")</f>
        <v>Regulations Limiting Carbon Dioxide Emissions from Natural Gas-fired Generation of Electricity (SOR/2018-261)</v>
      </c>
      <c r="D46" s="65" t="s">
        <v>815</v>
      </c>
      <c r="E46" s="65" t="s">
        <v>816</v>
      </c>
      <c r="F46" s="65" t="s">
        <v>34</v>
      </c>
      <c r="G46" s="65"/>
      <c r="H46" s="65">
        <v>2019.0</v>
      </c>
      <c r="I46" s="65" t="s">
        <v>24</v>
      </c>
      <c r="J46" s="65" t="s">
        <v>858</v>
      </c>
      <c r="K46" s="67" t="s">
        <v>859</v>
      </c>
      <c r="L46" s="68" t="s">
        <v>703</v>
      </c>
      <c r="M46" s="68"/>
      <c r="N46" s="68" t="s">
        <v>275</v>
      </c>
      <c r="O46" s="69" t="s">
        <v>823</v>
      </c>
    </row>
    <row r="47" ht="18.75" customHeight="1">
      <c r="A47" s="71">
        <v>9540.0</v>
      </c>
      <c r="B47" s="56" t="s">
        <v>860</v>
      </c>
      <c r="C47" s="72" t="s">
        <v>857</v>
      </c>
      <c r="D47" s="56" t="s">
        <v>815</v>
      </c>
      <c r="E47" s="56" t="s">
        <v>816</v>
      </c>
      <c r="F47" s="56" t="s">
        <v>34</v>
      </c>
      <c r="G47" s="56"/>
      <c r="H47" s="56">
        <v>2019.0</v>
      </c>
      <c r="I47" s="56" t="s">
        <v>811</v>
      </c>
      <c r="J47" s="72" t="s">
        <v>861</v>
      </c>
      <c r="K47" s="73" t="s">
        <v>862</v>
      </c>
      <c r="L47" s="74" t="s">
        <v>703</v>
      </c>
      <c r="M47" s="75" t="s">
        <v>24</v>
      </c>
      <c r="N47" s="74" t="s">
        <v>23</v>
      </c>
      <c r="O47" s="76" t="s">
        <v>828</v>
      </c>
    </row>
    <row r="48" ht="18.75" customHeight="1">
      <c r="A48" s="64">
        <v>9541.0</v>
      </c>
      <c r="B48" s="65" t="s">
        <v>863</v>
      </c>
      <c r="C48" s="65" t="str">
        <f>IFERROR(__xludf.DUMMYFUNCTION("GOOGLETRANSLATE(B48)"),"Regulations Respecting Reduction in the Release of Methane and Certain Volatile Organic Compounds (Upstream Oil and Gas Sector) (SOR/2018-66)")</f>
        <v>Regulations Respecting Reduction in the Release of Methane and Certain Volatile Organic Compounds (Upstream Oil and Gas Sector) (SOR/2018-66)</v>
      </c>
      <c r="D48" s="65" t="s">
        <v>815</v>
      </c>
      <c r="E48" s="65" t="s">
        <v>816</v>
      </c>
      <c r="F48" s="65" t="s">
        <v>34</v>
      </c>
      <c r="G48" s="65"/>
      <c r="H48" s="65">
        <v>2020.0</v>
      </c>
      <c r="I48" s="65" t="s">
        <v>24</v>
      </c>
      <c r="J48" s="65" t="s">
        <v>864</v>
      </c>
      <c r="K48" s="67" t="s">
        <v>865</v>
      </c>
      <c r="L48" s="68" t="s">
        <v>703</v>
      </c>
      <c r="M48" s="68"/>
      <c r="N48" s="68" t="s">
        <v>275</v>
      </c>
      <c r="O48" s="69" t="s">
        <v>823</v>
      </c>
    </row>
    <row r="49" ht="18.75" customHeight="1">
      <c r="A49" s="71">
        <v>9541.0</v>
      </c>
      <c r="B49" s="56" t="s">
        <v>866</v>
      </c>
      <c r="C49" s="72" t="s">
        <v>863</v>
      </c>
      <c r="D49" s="56" t="s">
        <v>815</v>
      </c>
      <c r="E49" s="56" t="s">
        <v>816</v>
      </c>
      <c r="F49" s="56" t="s">
        <v>34</v>
      </c>
      <c r="G49" s="56"/>
      <c r="H49" s="56">
        <v>2020.0</v>
      </c>
      <c r="I49" s="56" t="s">
        <v>811</v>
      </c>
      <c r="J49" s="72" t="s">
        <v>867</v>
      </c>
      <c r="K49" s="73" t="s">
        <v>868</v>
      </c>
      <c r="L49" s="74" t="s">
        <v>703</v>
      </c>
      <c r="M49" s="75" t="s">
        <v>24</v>
      </c>
      <c r="N49" s="74" t="s">
        <v>23</v>
      </c>
      <c r="O49" s="76" t="s">
        <v>828</v>
      </c>
    </row>
    <row r="50" ht="18.75" customHeight="1">
      <c r="A50" s="64">
        <v>9542.0</v>
      </c>
      <c r="B50" s="65" t="s">
        <v>869</v>
      </c>
      <c r="C50" s="65" t="str">
        <f>IFERROR(__xludf.DUMMYFUNCTION("GOOGLETRANSLATE(B50)"),"Fuel Charge Regulations (2018, c. 12, s. 187)")</f>
        <v>Fuel Charge Regulations (2018, c. 12, s. 187)</v>
      </c>
      <c r="D50" s="65" t="s">
        <v>815</v>
      </c>
      <c r="E50" s="65" t="s">
        <v>816</v>
      </c>
      <c r="F50" s="65" t="s">
        <v>34</v>
      </c>
      <c r="G50" s="65"/>
      <c r="H50" s="65">
        <v>2020.0</v>
      </c>
      <c r="I50" s="65" t="s">
        <v>24</v>
      </c>
      <c r="J50" s="65" t="s">
        <v>870</v>
      </c>
      <c r="K50" s="67" t="s">
        <v>871</v>
      </c>
      <c r="L50" s="68" t="s">
        <v>703</v>
      </c>
      <c r="M50" s="68"/>
      <c r="N50" s="68" t="s">
        <v>275</v>
      </c>
      <c r="O50" s="69" t="s">
        <v>823</v>
      </c>
    </row>
    <row r="51" ht="18.75" customHeight="1">
      <c r="A51" s="64">
        <v>9542.0</v>
      </c>
      <c r="B51" s="65" t="s">
        <v>872</v>
      </c>
      <c r="C51" s="65" t="str">
        <f>IFERROR(__xludf.DUMMYFUNCTION("GOOGLETRANSLATE(B51)"),"Regulations Amending the Fuel Charge Regulations: SOR/2019-265")</f>
        <v>Regulations Amending the Fuel Charge Regulations: SOR/2019-265</v>
      </c>
      <c r="D51" s="65" t="s">
        <v>815</v>
      </c>
      <c r="E51" s="65" t="s">
        <v>816</v>
      </c>
      <c r="F51" s="65" t="s">
        <v>34</v>
      </c>
      <c r="G51" s="65"/>
      <c r="H51" s="65">
        <v>2019.0</v>
      </c>
      <c r="I51" s="65" t="s">
        <v>24</v>
      </c>
      <c r="J51" s="70" t="s">
        <v>873</v>
      </c>
      <c r="K51" s="67" t="s">
        <v>874</v>
      </c>
      <c r="L51" s="68" t="s">
        <v>703</v>
      </c>
      <c r="M51" s="68"/>
      <c r="N51" s="68" t="s">
        <v>326</v>
      </c>
      <c r="O51" s="69" t="s">
        <v>823</v>
      </c>
    </row>
    <row r="52" ht="18.75" customHeight="1">
      <c r="A52" s="64">
        <v>9543.0</v>
      </c>
      <c r="B52" s="65" t="s">
        <v>875</v>
      </c>
      <c r="C52" s="65" t="str">
        <f>IFERROR(__xludf.DUMMYFUNCTION("GOOGLETRANSLATE(B52)"),"Output-Based Pricing System Regulations (SOR/2019-266)")</f>
        <v>Output-Based Pricing System Regulations (SOR/2019-266)</v>
      </c>
      <c r="D52" s="65" t="s">
        <v>815</v>
      </c>
      <c r="E52" s="65" t="s">
        <v>816</v>
      </c>
      <c r="F52" s="65" t="s">
        <v>34</v>
      </c>
      <c r="G52" s="65"/>
      <c r="H52" s="65">
        <v>2022.0</v>
      </c>
      <c r="I52" s="65" t="s">
        <v>24</v>
      </c>
      <c r="J52" s="65" t="s">
        <v>876</v>
      </c>
      <c r="K52" s="67" t="s">
        <v>877</v>
      </c>
      <c r="L52" s="68" t="s">
        <v>703</v>
      </c>
      <c r="M52" s="68"/>
      <c r="N52" s="68" t="s">
        <v>275</v>
      </c>
      <c r="O52" s="69" t="s">
        <v>823</v>
      </c>
    </row>
    <row r="53" ht="18.75" customHeight="1">
      <c r="A53" s="71">
        <v>9543.0</v>
      </c>
      <c r="B53" s="56" t="s">
        <v>878</v>
      </c>
      <c r="C53" s="72" t="s">
        <v>875</v>
      </c>
      <c r="D53" s="56" t="s">
        <v>815</v>
      </c>
      <c r="E53" s="56" t="s">
        <v>816</v>
      </c>
      <c r="F53" s="56" t="s">
        <v>34</v>
      </c>
      <c r="G53" s="56"/>
      <c r="H53" s="56">
        <v>2022.0</v>
      </c>
      <c r="I53" s="56" t="s">
        <v>811</v>
      </c>
      <c r="J53" s="72" t="s">
        <v>879</v>
      </c>
      <c r="K53" s="73" t="s">
        <v>880</v>
      </c>
      <c r="L53" s="74" t="s">
        <v>703</v>
      </c>
      <c r="M53" s="75" t="s">
        <v>24</v>
      </c>
      <c r="N53" s="74" t="s">
        <v>37</v>
      </c>
      <c r="O53" s="76" t="s">
        <v>828</v>
      </c>
    </row>
    <row r="54" ht="18.75" customHeight="1">
      <c r="A54" s="64">
        <v>9544.0</v>
      </c>
      <c r="B54" s="65" t="s">
        <v>881</v>
      </c>
      <c r="C54" s="65" t="str">
        <f>IFERROR(__xludf.DUMMYFUNCTION("GOOGLETRANSLATE(B54)"),"Locomotive Emissions Regulations (SOR/2017-121)")</f>
        <v>Locomotive Emissions Regulations (SOR/2017-121)</v>
      </c>
      <c r="D54" s="65" t="s">
        <v>815</v>
      </c>
      <c r="E54" s="65" t="s">
        <v>816</v>
      </c>
      <c r="F54" s="65" t="s">
        <v>34</v>
      </c>
      <c r="G54" s="65"/>
      <c r="H54" s="65">
        <v>2017.0</v>
      </c>
      <c r="I54" s="65" t="s">
        <v>24</v>
      </c>
      <c r="J54" s="65" t="s">
        <v>882</v>
      </c>
      <c r="K54" s="67" t="s">
        <v>883</v>
      </c>
      <c r="L54" s="68" t="s">
        <v>703</v>
      </c>
      <c r="M54" s="68"/>
      <c r="N54" s="68" t="s">
        <v>275</v>
      </c>
      <c r="O54" s="69" t="s">
        <v>823</v>
      </c>
    </row>
    <row r="55" ht="18.75" customHeight="1">
      <c r="A55" s="71">
        <v>9544.0</v>
      </c>
      <c r="B55" s="56" t="s">
        <v>884</v>
      </c>
      <c r="C55" s="72" t="s">
        <v>881</v>
      </c>
      <c r="D55" s="56" t="s">
        <v>815</v>
      </c>
      <c r="E55" s="56" t="s">
        <v>816</v>
      </c>
      <c r="F55" s="56" t="s">
        <v>34</v>
      </c>
      <c r="G55" s="56"/>
      <c r="H55" s="56">
        <v>2017.0</v>
      </c>
      <c r="I55" s="56" t="s">
        <v>811</v>
      </c>
      <c r="J55" s="72" t="s">
        <v>885</v>
      </c>
      <c r="K55" s="73" t="s">
        <v>886</v>
      </c>
      <c r="L55" s="74" t="s">
        <v>703</v>
      </c>
      <c r="M55" s="75" t="s">
        <v>24</v>
      </c>
      <c r="N55" s="74" t="s">
        <v>23</v>
      </c>
      <c r="O55" s="76" t="s">
        <v>828</v>
      </c>
    </row>
    <row r="56" ht="18.75" customHeight="1">
      <c r="A56" s="71">
        <v>9545.0</v>
      </c>
      <c r="B56" s="56" t="s">
        <v>887</v>
      </c>
      <c r="C56" s="72" t="s">
        <v>888</v>
      </c>
      <c r="D56" s="56" t="s">
        <v>815</v>
      </c>
      <c r="E56" s="56" t="s">
        <v>816</v>
      </c>
      <c r="F56" s="56" t="s">
        <v>34</v>
      </c>
      <c r="G56" s="56"/>
      <c r="H56" s="56">
        <v>2021.0</v>
      </c>
      <c r="I56" s="56" t="s">
        <v>811</v>
      </c>
      <c r="J56" s="56" t="s">
        <v>889</v>
      </c>
      <c r="K56" s="73" t="s">
        <v>890</v>
      </c>
      <c r="L56" s="74" t="s">
        <v>703</v>
      </c>
      <c r="M56" s="75" t="s">
        <v>24</v>
      </c>
      <c r="N56" s="74" t="s">
        <v>23</v>
      </c>
      <c r="O56" s="76" t="s">
        <v>828</v>
      </c>
    </row>
    <row r="57">
      <c r="A57" s="57">
        <v>9545.0</v>
      </c>
      <c r="B57" s="59"/>
      <c r="C57" s="59" t="str">
        <f>IFERROR(__xludf.DUMMYFUNCTION("GOOGLETRANSLATE(B57)"),"#VALUE!")</f>
        <v>#VALUE!</v>
      </c>
      <c r="D57" s="59" t="s">
        <v>815</v>
      </c>
      <c r="E57" s="59" t="s">
        <v>816</v>
      </c>
      <c r="F57" s="59"/>
      <c r="G57" s="59"/>
      <c r="H57" s="59"/>
      <c r="I57" s="59"/>
      <c r="J57" s="63" t="s">
        <v>891</v>
      </c>
      <c r="K57" s="60" t="s">
        <v>892</v>
      </c>
      <c r="L57" s="61" t="s">
        <v>703</v>
      </c>
      <c r="M57" s="61"/>
      <c r="N57" s="61" t="s">
        <v>275</v>
      </c>
      <c r="O57" s="62" t="s">
        <v>893</v>
      </c>
    </row>
    <row r="58">
      <c r="A58" s="64">
        <v>9769.0</v>
      </c>
      <c r="B58" s="65" t="s">
        <v>894</v>
      </c>
      <c r="C58" s="65" t="str">
        <f>IFERROR(__xludf.DUMMYFUNCTION("GOOGLETRANSLATE(B58)"),"Strategic Assessment of Climate Change Revised, October 2020")</f>
        <v>Strategic Assessment of Climate Change Revised, October 2020</v>
      </c>
      <c r="D58" s="65" t="s">
        <v>815</v>
      </c>
      <c r="E58" s="65" t="s">
        <v>816</v>
      </c>
      <c r="F58" s="65" t="s">
        <v>895</v>
      </c>
      <c r="G58" s="65"/>
      <c r="H58" s="65">
        <v>2020.0</v>
      </c>
      <c r="I58" s="65" t="s">
        <v>24</v>
      </c>
      <c r="J58" s="78" t="s">
        <v>896</v>
      </c>
      <c r="K58" s="67" t="s">
        <v>897</v>
      </c>
      <c r="L58" s="68" t="s">
        <v>703</v>
      </c>
      <c r="M58" s="68"/>
      <c r="N58" s="68" t="s">
        <v>839</v>
      </c>
      <c r="O58" s="69" t="s">
        <v>823</v>
      </c>
    </row>
    <row r="59">
      <c r="A59" s="71">
        <v>9769.0</v>
      </c>
      <c r="B59" s="56" t="s">
        <v>898</v>
      </c>
      <c r="C59" s="72" t="s">
        <v>899</v>
      </c>
      <c r="D59" s="56" t="s">
        <v>815</v>
      </c>
      <c r="E59" s="56" t="s">
        <v>816</v>
      </c>
      <c r="F59" s="56" t="s">
        <v>45</v>
      </c>
      <c r="G59" s="56"/>
      <c r="H59" s="56">
        <v>2019.0</v>
      </c>
      <c r="I59" s="56" t="s">
        <v>811</v>
      </c>
      <c r="J59" s="72" t="s">
        <v>900</v>
      </c>
      <c r="K59" s="73" t="s">
        <v>901</v>
      </c>
      <c r="L59" s="74" t="s">
        <v>703</v>
      </c>
      <c r="M59" s="75" t="s">
        <v>24</v>
      </c>
      <c r="N59" s="74" t="s">
        <v>23</v>
      </c>
      <c r="O59" s="76" t="s">
        <v>828</v>
      </c>
    </row>
    <row r="60">
      <c r="A60" s="57">
        <v>9769.0</v>
      </c>
      <c r="B60" s="59" t="s">
        <v>902</v>
      </c>
      <c r="C60" s="59" t="str">
        <f>IFERROR(__xludf.DUMMYFUNCTION("GOOGLETRANSLATE(B60)"),"Statement by the Government of Canada on thermal coal mining")</f>
        <v>Statement by the Government of Canada on thermal coal mining</v>
      </c>
      <c r="D60" s="59" t="s">
        <v>815</v>
      </c>
      <c r="E60" s="59" t="s">
        <v>816</v>
      </c>
      <c r="F60" s="59" t="s">
        <v>903</v>
      </c>
      <c r="G60" s="59"/>
      <c r="H60" s="59">
        <v>2021.0</v>
      </c>
      <c r="I60" s="59" t="s">
        <v>24</v>
      </c>
      <c r="J60" s="77" t="s">
        <v>904</v>
      </c>
      <c r="K60" s="60" t="s">
        <v>905</v>
      </c>
      <c r="L60" s="61" t="s">
        <v>703</v>
      </c>
      <c r="M60" s="61"/>
      <c r="N60" s="61" t="s">
        <v>839</v>
      </c>
      <c r="O60" s="62" t="s">
        <v>906</v>
      </c>
    </row>
    <row r="61">
      <c r="A61" s="42">
        <v>10517.0</v>
      </c>
      <c r="B61" s="44" t="s">
        <v>907</v>
      </c>
      <c r="C61" s="36" t="str">
        <f>IFERROR(__xludf.DUMMYFUNCTION("GOOGLETRANSLATE(B61)"),"2030 Emissions Reduction Plan - Canada’s Next Steps for Clean Air and a Strong Economy")</f>
        <v>2030 Emissions Reduction Plan - Canada’s Next Steps for Clean Air and a Strong Economy</v>
      </c>
      <c r="D61" s="44" t="s">
        <v>815</v>
      </c>
      <c r="E61" s="44" t="s">
        <v>816</v>
      </c>
      <c r="F61" s="44" t="s">
        <v>234</v>
      </c>
      <c r="G61" s="44"/>
      <c r="H61" s="44">
        <v>2022.0</v>
      </c>
      <c r="I61" s="44" t="s">
        <v>24</v>
      </c>
      <c r="J61" s="44" t="s">
        <v>908</v>
      </c>
      <c r="K61" s="38" t="s">
        <v>909</v>
      </c>
      <c r="L61" s="39" t="s">
        <v>703</v>
      </c>
      <c r="M61" s="39"/>
      <c r="N61" s="39" t="s">
        <v>23</v>
      </c>
      <c r="O61" s="46"/>
    </row>
    <row r="62">
      <c r="A62" s="64">
        <v>10517.0</v>
      </c>
      <c r="B62" s="65" t="s">
        <v>910</v>
      </c>
      <c r="C62" s="65" t="str">
        <f>IFERROR(__xludf.DUMMYFUNCTION("GOOGLETRANSLATE(B62)"),"2030 Emissions Reduction Plan - Canada's Next Steps for Clean Air and a Strong Economy")</f>
        <v>2030 Emissions Reduction Plan - Canada's Next Steps for Clean Air and a Strong Economy</v>
      </c>
      <c r="D62" s="65" t="s">
        <v>815</v>
      </c>
      <c r="E62" s="65" t="s">
        <v>816</v>
      </c>
      <c r="F62" s="65" t="s">
        <v>234</v>
      </c>
      <c r="G62" s="65"/>
      <c r="H62" s="65">
        <v>2022.0</v>
      </c>
      <c r="I62" s="65" t="s">
        <v>24</v>
      </c>
      <c r="J62" s="70" t="s">
        <v>911</v>
      </c>
      <c r="K62" s="67" t="s">
        <v>912</v>
      </c>
      <c r="L62" s="68" t="s">
        <v>703</v>
      </c>
      <c r="M62" s="68"/>
      <c r="N62" s="68" t="s">
        <v>839</v>
      </c>
      <c r="O62" s="69" t="s">
        <v>823</v>
      </c>
    </row>
    <row r="63">
      <c r="A63" s="42">
        <v>8669.0</v>
      </c>
      <c r="B63" s="44" t="s">
        <v>913</v>
      </c>
      <c r="C63" s="36" t="str">
        <f>IFERROR(__xludf.DUMMYFUNCTION("GOOGLETRANSLATE(B63)"),"Vision 2030, The Chad We Want")</f>
        <v>Vision 2030, The Chad We Want</v>
      </c>
      <c r="D63" s="44" t="s">
        <v>914</v>
      </c>
      <c r="E63" s="44" t="s">
        <v>915</v>
      </c>
      <c r="F63" s="44" t="s">
        <v>253</v>
      </c>
      <c r="G63" s="44"/>
      <c r="H63" s="44">
        <v>2017.0</v>
      </c>
      <c r="I63" s="44" t="s">
        <v>24</v>
      </c>
      <c r="J63" s="44" t="s">
        <v>916</v>
      </c>
      <c r="K63" s="38" t="s">
        <v>917</v>
      </c>
      <c r="L63" s="39" t="s">
        <v>703</v>
      </c>
      <c r="M63" s="39"/>
      <c r="N63" s="39" t="s">
        <v>23</v>
      </c>
      <c r="O63" s="46"/>
    </row>
    <row r="64">
      <c r="A64" s="42">
        <v>8669.0</v>
      </c>
      <c r="B64" s="44" t="s">
        <v>918</v>
      </c>
      <c r="C64" s="36" t="str">
        <f>IFERROR(__xludf.DUMMYFUNCTION("GOOGLETRANSLATE(B64)"),"National development plan 2017 - 2021")</f>
        <v>National development plan 2017 - 2021</v>
      </c>
      <c r="D64" s="44" t="s">
        <v>914</v>
      </c>
      <c r="E64" s="44" t="s">
        <v>915</v>
      </c>
      <c r="F64" s="44" t="s">
        <v>234</v>
      </c>
      <c r="G64" s="44"/>
      <c r="H64" s="44">
        <v>2017.0</v>
      </c>
      <c r="I64" s="44" t="s">
        <v>811</v>
      </c>
      <c r="J64" s="50" t="s">
        <v>919</v>
      </c>
      <c r="K64" s="38" t="s">
        <v>920</v>
      </c>
      <c r="L64" s="39" t="s">
        <v>703</v>
      </c>
      <c r="M64" s="39"/>
      <c r="N64" s="39" t="s">
        <v>23</v>
      </c>
      <c r="O64" s="46"/>
    </row>
    <row r="65">
      <c r="A65" s="42">
        <v>1307.0</v>
      </c>
      <c r="B65" s="44" t="s">
        <v>921</v>
      </c>
      <c r="C65" s="36" t="str">
        <f>IFERROR(__xludf.DUMMYFUNCTION("GOOGLETRANSLATE(B65)"),"Law No. 20,257 introduces modifications to the General Law of Electrical Services regarding the generation of electricity with non -conventional renewable energy sources")</f>
        <v>Law No. 20,257 introduces modifications to the General Law of Electrical Services regarding the generation of electricity with non -conventional renewable energy sources</v>
      </c>
      <c r="D65" s="44" t="s">
        <v>922</v>
      </c>
      <c r="E65" s="44" t="s">
        <v>923</v>
      </c>
      <c r="F65" s="44" t="s">
        <v>41</v>
      </c>
      <c r="G65" s="44"/>
      <c r="H65" s="44">
        <v>2013.0</v>
      </c>
      <c r="I65" s="44" t="s">
        <v>924</v>
      </c>
      <c r="J65" s="44" t="s">
        <v>925</v>
      </c>
      <c r="K65" s="38" t="s">
        <v>926</v>
      </c>
      <c r="L65" s="39" t="s">
        <v>703</v>
      </c>
      <c r="M65" s="39"/>
      <c r="N65" s="39" t="s">
        <v>23</v>
      </c>
      <c r="O65" s="46"/>
    </row>
    <row r="66">
      <c r="A66" s="42">
        <v>1307.0</v>
      </c>
      <c r="B66" s="44" t="s">
        <v>927</v>
      </c>
      <c r="C66" s="36" t="str">
        <f>IFERROR(__xludf.DUMMYFUNCTION("GOOGLETRANSLATE(B66)"),"Resolution 1278 Exempt establishes norms for the proper implementation of Law No. 20,257, which introduced modifications to the General Law of Electrical Services regarding the generation of electricity with sources of unconventional renewable energy")</f>
        <v>Resolution 1278 Exempt establishes norms for the proper implementation of Law No. 20,257, which introduced modifications to the General Law of Electrical Services regarding the generation of electricity with sources of unconventional renewable energy</v>
      </c>
      <c r="D66" s="44" t="s">
        <v>922</v>
      </c>
      <c r="E66" s="44" t="s">
        <v>923</v>
      </c>
      <c r="F66" s="44" t="s">
        <v>137</v>
      </c>
      <c r="G66" s="44"/>
      <c r="H66" s="44">
        <v>2011.0</v>
      </c>
      <c r="I66" s="44" t="s">
        <v>924</v>
      </c>
      <c r="J66" s="50" t="s">
        <v>928</v>
      </c>
      <c r="K66" s="38" t="s">
        <v>929</v>
      </c>
      <c r="L66" s="39" t="s">
        <v>703</v>
      </c>
      <c r="M66" s="39"/>
      <c r="N66" s="39" t="s">
        <v>23</v>
      </c>
      <c r="O66" s="46"/>
    </row>
    <row r="67">
      <c r="A67" s="42">
        <v>8585.0</v>
      </c>
      <c r="B67" s="44" t="s">
        <v>930</v>
      </c>
      <c r="C67" s="79" t="s">
        <v>931</v>
      </c>
      <c r="D67" s="44" t="s">
        <v>922</v>
      </c>
      <c r="E67" s="44" t="s">
        <v>923</v>
      </c>
      <c r="F67" s="44" t="s">
        <v>41</v>
      </c>
      <c r="G67" s="44"/>
      <c r="H67" s="44">
        <v>2017.0</v>
      </c>
      <c r="I67" s="44" t="s">
        <v>924</v>
      </c>
      <c r="J67" s="44" t="s">
        <v>932</v>
      </c>
      <c r="K67" s="38" t="s">
        <v>933</v>
      </c>
      <c r="L67" s="39" t="s">
        <v>703</v>
      </c>
      <c r="M67" s="39"/>
      <c r="N67" s="39" t="s">
        <v>23</v>
      </c>
      <c r="O67" s="46"/>
    </row>
    <row r="68">
      <c r="A68" s="64">
        <v>8585.0</v>
      </c>
      <c r="B68" s="65" t="s">
        <v>934</v>
      </c>
      <c r="C68" s="65" t="str">
        <f>IFERROR(__xludf.DUMMYFUNCTION("GOOGLETRANSLATE(B68)"),"Law No. 21.210 Modernizes tax legislation")</f>
        <v>Law No. 21.210 Modernizes tax legislation</v>
      </c>
      <c r="D68" s="65" t="s">
        <v>922</v>
      </c>
      <c r="E68" s="65" t="s">
        <v>923</v>
      </c>
      <c r="F68" s="65" t="s">
        <v>41</v>
      </c>
      <c r="G68" s="65"/>
      <c r="H68" s="65">
        <v>2020.0</v>
      </c>
      <c r="I68" s="65" t="s">
        <v>924</v>
      </c>
      <c r="J68" s="80" t="s">
        <v>935</v>
      </c>
      <c r="K68" s="67" t="s">
        <v>936</v>
      </c>
      <c r="L68" s="68" t="s">
        <v>703</v>
      </c>
      <c r="M68" s="68"/>
      <c r="N68" s="68" t="s">
        <v>275</v>
      </c>
      <c r="O68" s="69" t="s">
        <v>823</v>
      </c>
    </row>
    <row r="69">
      <c r="A69" s="42">
        <v>9066.0</v>
      </c>
      <c r="B69" s="44" t="s">
        <v>937</v>
      </c>
      <c r="C69" s="36" t="str">
        <f>IFERROR(__xludf.DUMMYFUNCTION("GOOGLETRANSLATE(B69)"),"Decree 1 Approves Regulation of the Registry of Emissions and Transfers of Pollutants, RETC")</f>
        <v>Decree 1 Approves Regulation of the Registry of Emissions and Transfers of Pollutants, RETC</v>
      </c>
      <c r="D69" s="44" t="s">
        <v>922</v>
      </c>
      <c r="E69" s="44" t="s">
        <v>923</v>
      </c>
      <c r="F69" s="44" t="s">
        <v>18</v>
      </c>
      <c r="G69" s="44"/>
      <c r="H69" s="44">
        <v>2013.0</v>
      </c>
      <c r="I69" s="44" t="s">
        <v>924</v>
      </c>
      <c r="J69" s="44" t="s">
        <v>938</v>
      </c>
      <c r="K69" s="38" t="s">
        <v>939</v>
      </c>
      <c r="L69" s="39" t="s">
        <v>703</v>
      </c>
      <c r="M69" s="39"/>
      <c r="N69" s="39" t="s">
        <v>23</v>
      </c>
      <c r="O69" s="46"/>
    </row>
    <row r="70">
      <c r="A70" s="57">
        <v>9066.0</v>
      </c>
      <c r="B70" s="59" t="s">
        <v>940</v>
      </c>
      <c r="C70" s="59" t="str">
        <f>IFERROR(__xludf.DUMMYFUNCTION("GOOGLETRANSLATE(B70)"),"The modification of the RETC Regulation is published in the Official Gazette")</f>
        <v>The modification of the RETC Regulation is published in the Official Gazette</v>
      </c>
      <c r="D70" s="59" t="s">
        <v>922</v>
      </c>
      <c r="E70" s="59" t="s">
        <v>923</v>
      </c>
      <c r="F70" s="59" t="s">
        <v>18</v>
      </c>
      <c r="G70" s="59" t="s">
        <v>18</v>
      </c>
      <c r="H70" s="59">
        <v>2018.0</v>
      </c>
      <c r="I70" s="59" t="s">
        <v>924</v>
      </c>
      <c r="J70" s="77" t="s">
        <v>941</v>
      </c>
      <c r="K70" s="60" t="s">
        <v>942</v>
      </c>
      <c r="L70" s="61" t="s">
        <v>703</v>
      </c>
      <c r="M70" s="61"/>
      <c r="N70" s="61" t="s">
        <v>326</v>
      </c>
      <c r="O70" s="62" t="s">
        <v>943</v>
      </c>
    </row>
    <row r="71">
      <c r="A71" s="42">
        <v>1313.0</v>
      </c>
      <c r="B71" s="43" t="s">
        <v>944</v>
      </c>
      <c r="C71" s="81" t="s">
        <v>945</v>
      </c>
      <c r="D71" s="44" t="s">
        <v>946</v>
      </c>
      <c r="E71" s="44" t="s">
        <v>947</v>
      </c>
      <c r="F71" s="44" t="s">
        <v>144</v>
      </c>
      <c r="G71" s="44"/>
      <c r="H71" s="44">
        <v>2013.0</v>
      </c>
      <c r="I71" s="44" t="s">
        <v>948</v>
      </c>
      <c r="J71" s="44" t="s">
        <v>949</v>
      </c>
      <c r="K71" s="38" t="s">
        <v>950</v>
      </c>
      <c r="L71" s="39" t="s">
        <v>703</v>
      </c>
      <c r="M71" s="39"/>
      <c r="N71" s="39" t="s">
        <v>23</v>
      </c>
      <c r="O71" s="46"/>
    </row>
    <row r="72">
      <c r="A72" s="57">
        <v>1313.0</v>
      </c>
      <c r="B72" s="82" t="s">
        <v>951</v>
      </c>
      <c r="C72" s="59" t="str">
        <f>IFERROR(__xludf.DUMMYFUNCTION("GOOGLETRANSLATE(B72)"),"Executive Meeting of the Ministry of Ecology and Environment")</f>
        <v>Executive Meeting of the Ministry of Ecology and Environment</v>
      </c>
      <c r="D72" s="59" t="s">
        <v>946</v>
      </c>
      <c r="E72" s="59" t="s">
        <v>947</v>
      </c>
      <c r="F72" s="59" t="s">
        <v>295</v>
      </c>
      <c r="G72" s="59" t="s">
        <v>144</v>
      </c>
      <c r="H72" s="59">
        <v>2022.0</v>
      </c>
      <c r="I72" s="59" t="s">
        <v>948</v>
      </c>
      <c r="J72" s="77" t="s">
        <v>952</v>
      </c>
      <c r="K72" s="60" t="s">
        <v>953</v>
      </c>
      <c r="L72" s="61" t="s">
        <v>703</v>
      </c>
      <c r="M72" s="61"/>
      <c r="N72" s="61" t="s">
        <v>37</v>
      </c>
      <c r="O72" s="62" t="s">
        <v>943</v>
      </c>
    </row>
    <row r="73">
      <c r="A73" s="71">
        <v>1315.0</v>
      </c>
      <c r="B73" s="56" t="s">
        <v>954</v>
      </c>
      <c r="C73" s="72" t="s">
        <v>955</v>
      </c>
      <c r="D73" s="56" t="s">
        <v>946</v>
      </c>
      <c r="E73" s="56" t="s">
        <v>947</v>
      </c>
      <c r="F73" s="56" t="s">
        <v>41</v>
      </c>
      <c r="G73" s="56"/>
      <c r="H73" s="56">
        <v>2005.0</v>
      </c>
      <c r="I73" s="56" t="s">
        <v>948</v>
      </c>
      <c r="J73" s="56" t="s">
        <v>956</v>
      </c>
      <c r="K73" s="73" t="s">
        <v>957</v>
      </c>
      <c r="L73" s="74" t="s">
        <v>703</v>
      </c>
      <c r="M73" s="75" t="s">
        <v>24</v>
      </c>
      <c r="N73" s="74" t="s">
        <v>23</v>
      </c>
      <c r="O73" s="76" t="s">
        <v>828</v>
      </c>
    </row>
    <row r="74">
      <c r="A74" s="57">
        <v>1315.0</v>
      </c>
      <c r="B74" s="77" t="s">
        <v>958</v>
      </c>
      <c r="C74" s="59" t="str">
        <f>IFERROR(__xludf.DUMMYFUNCTION("GOOGLETRANSLATE(B74)"),"The National Energy Administration's notice on the development and construction of wind power and photovoltaic power generation in 2021")</f>
        <v>The National Energy Administration's notice on the development and construction of wind power and photovoltaic power generation in 2021</v>
      </c>
      <c r="D74" s="83" t="s">
        <v>946</v>
      </c>
      <c r="E74" s="83" t="s">
        <v>947</v>
      </c>
      <c r="F74" s="83" t="s">
        <v>34</v>
      </c>
      <c r="G74" s="59"/>
      <c r="H74" s="59">
        <v>2021.0</v>
      </c>
      <c r="I74" s="83" t="s">
        <v>948</v>
      </c>
      <c r="J74" s="77" t="s">
        <v>959</v>
      </c>
      <c r="K74" s="60" t="s">
        <v>960</v>
      </c>
      <c r="L74" s="61" t="s">
        <v>703</v>
      </c>
      <c r="M74" s="61"/>
      <c r="N74" s="61" t="s">
        <v>275</v>
      </c>
      <c r="O74" s="84" t="s">
        <v>943</v>
      </c>
    </row>
    <row r="75">
      <c r="A75" s="64">
        <v>10087.0</v>
      </c>
      <c r="B75" s="85" t="s">
        <v>961</v>
      </c>
      <c r="C75" s="81" t="s">
        <v>962</v>
      </c>
      <c r="D75" s="86" t="s">
        <v>946</v>
      </c>
      <c r="E75" s="86" t="s">
        <v>947</v>
      </c>
      <c r="F75" s="86" t="s">
        <v>234</v>
      </c>
      <c r="G75" s="65"/>
      <c r="H75" s="65">
        <v>2021.0</v>
      </c>
      <c r="I75" s="86" t="s">
        <v>948</v>
      </c>
      <c r="J75" s="86" t="s">
        <v>963</v>
      </c>
      <c r="K75" s="67" t="s">
        <v>964</v>
      </c>
      <c r="L75" s="68" t="s">
        <v>703</v>
      </c>
      <c r="M75" s="68"/>
      <c r="N75" s="68" t="s">
        <v>275</v>
      </c>
      <c r="O75" s="87" t="s">
        <v>823</v>
      </c>
    </row>
    <row r="76">
      <c r="A76" s="42">
        <v>10087.0</v>
      </c>
      <c r="B76" s="88" t="s">
        <v>965</v>
      </c>
      <c r="C76" s="36" t="str">
        <f>IFERROR(__xludf.DUMMYFUNCTION("GOOGLETRANSLATE(B76)"),"Outline of the People's Republic of China 14th Five-Year Plan for National Economic and Social Development and Long-Range Objectives for 2035")</f>
        <v>Outline of the People's Republic of China 14th Five-Year Plan for National Economic and Social Development and Long-Range Objectives for 2035</v>
      </c>
      <c r="D76" s="88" t="s">
        <v>946</v>
      </c>
      <c r="E76" s="88" t="s">
        <v>947</v>
      </c>
      <c r="F76" s="88" t="s">
        <v>234</v>
      </c>
      <c r="G76" s="44"/>
      <c r="H76" s="44">
        <v>2021.0</v>
      </c>
      <c r="I76" s="88" t="s">
        <v>24</v>
      </c>
      <c r="J76" s="50" t="s">
        <v>966</v>
      </c>
      <c r="K76" s="38" t="s">
        <v>967</v>
      </c>
      <c r="L76" s="39" t="s">
        <v>703</v>
      </c>
      <c r="M76" s="39"/>
      <c r="N76" s="39" t="s">
        <v>23</v>
      </c>
      <c r="O76" s="89"/>
    </row>
    <row r="77">
      <c r="A77" s="57">
        <v>10099.0</v>
      </c>
      <c r="B77" s="83" t="s">
        <v>968</v>
      </c>
      <c r="C77" s="59" t="str">
        <f>IFERROR(__xludf.DUMMYFUNCTION("GOOGLETRANSLATE(B77)"),"New development plan for NEVs unveiled")</f>
        <v>New development plan for NEVs unveiled</v>
      </c>
      <c r="D77" s="83" t="s">
        <v>946</v>
      </c>
      <c r="E77" s="83" t="s">
        <v>947</v>
      </c>
      <c r="F77" s="83" t="s">
        <v>295</v>
      </c>
      <c r="G77" s="59"/>
      <c r="H77" s="59">
        <v>2020.0</v>
      </c>
      <c r="I77" s="83" t="s">
        <v>24</v>
      </c>
      <c r="J77" s="83" t="s">
        <v>969</v>
      </c>
      <c r="K77" s="60" t="s">
        <v>970</v>
      </c>
      <c r="L77" s="61" t="s">
        <v>703</v>
      </c>
      <c r="M77" s="61"/>
      <c r="N77" s="61" t="s">
        <v>229</v>
      </c>
      <c r="O77" s="84" t="s">
        <v>943</v>
      </c>
    </row>
    <row r="78">
      <c r="A78" s="64">
        <v>10099.0</v>
      </c>
      <c r="B78" s="87" t="s">
        <v>971</v>
      </c>
      <c r="C78" s="65" t="str">
        <f>IFERROR(__xludf.DUMMYFUNCTION("GOOGLETRANSLATE(B78)"),"Attachment: 2020 new energy vehicle promotion subsidy plan and product technical requirements")</f>
        <v>Attachment: 2020 new energy vehicle promotion subsidy plan and product technical requirements</v>
      </c>
      <c r="D78" s="86" t="s">
        <v>946</v>
      </c>
      <c r="E78" s="86" t="s">
        <v>947</v>
      </c>
      <c r="F78" s="90" t="s">
        <v>972</v>
      </c>
      <c r="G78" s="65" t="s">
        <v>234</v>
      </c>
      <c r="H78" s="65">
        <v>2020.0</v>
      </c>
      <c r="I78" s="86" t="s">
        <v>948</v>
      </c>
      <c r="J78" s="70" t="s">
        <v>973</v>
      </c>
      <c r="K78" s="67" t="s">
        <v>974</v>
      </c>
      <c r="L78" s="68" t="s">
        <v>703</v>
      </c>
      <c r="M78" s="68"/>
      <c r="N78" s="68" t="s">
        <v>23</v>
      </c>
      <c r="O78" s="87" t="s">
        <v>975</v>
      </c>
    </row>
    <row r="79">
      <c r="A79" s="57">
        <v>10099.0</v>
      </c>
      <c r="B79" s="82" t="s">
        <v>976</v>
      </c>
      <c r="C79" s="59" t="str">
        <f>IFERROR(__xludf.DUMMYFUNCTION("GOOGLETRANSLATE(B79)"),"Notice on improving the promotion and application of new energy vehicle promotion and application fiscal subsidy policies [2020] No. 86")</f>
        <v>Notice on improving the promotion and application of new energy vehicle promotion and application fiscal subsidy policies [2020] No. 86</v>
      </c>
      <c r="D79" s="83" t="s">
        <v>946</v>
      </c>
      <c r="E79" s="83" t="s">
        <v>947</v>
      </c>
      <c r="F79" s="83" t="s">
        <v>407</v>
      </c>
      <c r="G79" s="59" t="s">
        <v>234</v>
      </c>
      <c r="H79" s="59">
        <v>2020.0</v>
      </c>
      <c r="I79" s="83" t="s">
        <v>948</v>
      </c>
      <c r="J79" s="77" t="s">
        <v>977</v>
      </c>
      <c r="K79" s="60" t="s">
        <v>978</v>
      </c>
      <c r="L79" s="61" t="s">
        <v>703</v>
      </c>
      <c r="M79" s="61"/>
      <c r="N79" s="61" t="s">
        <v>275</v>
      </c>
      <c r="O79" s="84" t="s">
        <v>979</v>
      </c>
    </row>
    <row r="80">
      <c r="A80" s="57">
        <v>10116.0</v>
      </c>
      <c r="B80" s="91" t="s">
        <v>980</v>
      </c>
      <c r="C80" s="59" t="str">
        <f>IFERROR(__xludf.DUMMYFUNCTION("GOOGLETRANSLATE(B80)"),"The National Development and Reform Commission's Notice on Printing and Distributing the Special Administrative Measures for Internal Internal Budget of Pollution Governance and Energy Conservation Carbon reduction")</f>
        <v>The National Development and Reform Commission's Notice on Printing and Distributing the Special Administrative Measures for Internal Internal Budget of Pollution Governance and Energy Conservation Carbon reduction</v>
      </c>
      <c r="D80" s="83" t="s">
        <v>946</v>
      </c>
      <c r="E80" s="83" t="s">
        <v>947</v>
      </c>
      <c r="F80" s="83" t="s">
        <v>272</v>
      </c>
      <c r="G80" s="59"/>
      <c r="H80" s="59">
        <v>2021.0</v>
      </c>
      <c r="I80" s="83" t="s">
        <v>948</v>
      </c>
      <c r="J80" s="83" t="s">
        <v>981</v>
      </c>
      <c r="K80" s="60" t="s">
        <v>982</v>
      </c>
      <c r="L80" s="61" t="s">
        <v>703</v>
      </c>
      <c r="M80" s="61"/>
      <c r="N80" s="61" t="s">
        <v>275</v>
      </c>
      <c r="O80" s="84" t="s">
        <v>979</v>
      </c>
    </row>
    <row r="81">
      <c r="A81" s="64">
        <v>10116.0</v>
      </c>
      <c r="B81" s="87" t="s">
        <v>983</v>
      </c>
      <c r="C81" s="65" t="str">
        <f>IFERROR(__xludf.DUMMYFUNCTION("GOOGLETRANSLATE(B81)"),"Attachment: Special Administrative Measures for Pollution Governance and Energy -saving Carbon Reduction Central Budget")</f>
        <v>Attachment: Special Administrative Measures for Pollution Governance and Energy -saving Carbon Reduction Central Budget</v>
      </c>
      <c r="D81" s="86" t="s">
        <v>946</v>
      </c>
      <c r="E81" s="86" t="s">
        <v>947</v>
      </c>
      <c r="F81" s="90" t="s">
        <v>972</v>
      </c>
      <c r="G81" s="65"/>
      <c r="H81" s="65"/>
      <c r="I81" s="86" t="s">
        <v>948</v>
      </c>
      <c r="J81" s="92" t="s">
        <v>984</v>
      </c>
      <c r="K81" s="67" t="s">
        <v>985</v>
      </c>
      <c r="L81" s="68" t="s">
        <v>703</v>
      </c>
      <c r="M81" s="68"/>
      <c r="N81" s="68" t="s">
        <v>23</v>
      </c>
      <c r="O81" s="87" t="s">
        <v>986</v>
      </c>
    </row>
    <row r="82">
      <c r="A82" s="64">
        <v>10332.0</v>
      </c>
      <c r="B82" s="86" t="s">
        <v>987</v>
      </c>
      <c r="C82" s="65" t="str">
        <f>IFERROR(__xludf.DUMMYFUNCTION("GOOGLETRANSLATE(B82)"),"Action Plan for Carbon Dioxide Peaking before 2030")</f>
        <v>Action Plan for Carbon Dioxide Peaking before 2030</v>
      </c>
      <c r="D82" s="86" t="s">
        <v>946</v>
      </c>
      <c r="E82" s="86" t="s">
        <v>947</v>
      </c>
      <c r="F82" s="86" t="s">
        <v>368</v>
      </c>
      <c r="G82" s="65"/>
      <c r="H82" s="65">
        <v>2021.0</v>
      </c>
      <c r="I82" s="86" t="s">
        <v>24</v>
      </c>
      <c r="J82" s="86" t="s">
        <v>988</v>
      </c>
      <c r="K82" s="67" t="s">
        <v>989</v>
      </c>
      <c r="L82" s="68" t="s">
        <v>703</v>
      </c>
      <c r="M82" s="68"/>
      <c r="N82" s="68" t="s">
        <v>275</v>
      </c>
      <c r="O82" s="87" t="s">
        <v>823</v>
      </c>
    </row>
    <row r="83">
      <c r="A83" s="57">
        <v>10332.0</v>
      </c>
      <c r="B83" s="83" t="s">
        <v>990</v>
      </c>
      <c r="C83" s="59" t="str">
        <f>IFERROR(__xludf.DUMMYFUNCTION("GOOGLETRANSLATE(B83)"),"Working Guidance for Carbon Dioxide Peaking and Carbon Neutrality in Full and Faithful Implementation of the New Development Philosophy")</f>
        <v>Working Guidance for Carbon Dioxide Peaking and Carbon Neutrality in Full and Faithful Implementation of the New Development Philosophy</v>
      </c>
      <c r="D83" s="83" t="s">
        <v>946</v>
      </c>
      <c r="E83" s="83" t="s">
        <v>947</v>
      </c>
      <c r="F83" s="83" t="s">
        <v>34</v>
      </c>
      <c r="G83" s="59"/>
      <c r="H83" s="59"/>
      <c r="I83" s="83" t="s">
        <v>24</v>
      </c>
      <c r="J83" s="77" t="s">
        <v>991</v>
      </c>
      <c r="K83" s="60" t="s">
        <v>992</v>
      </c>
      <c r="L83" s="61" t="s">
        <v>703</v>
      </c>
      <c r="M83" s="61"/>
      <c r="N83" s="61" t="s">
        <v>48</v>
      </c>
      <c r="O83" s="84" t="s">
        <v>993</v>
      </c>
    </row>
    <row r="84">
      <c r="A84" s="64">
        <v>10385.0</v>
      </c>
      <c r="B84" s="86" t="s">
        <v>994</v>
      </c>
      <c r="C84" s="65" t="str">
        <f>IFERROR(__xludf.DUMMYFUNCTION("GOOGLETRANSLATE(B84)"),"Electric Power Law of the People's Republic of China")</f>
        <v>Electric Power Law of the People's Republic of China</v>
      </c>
      <c r="D84" s="86" t="s">
        <v>946</v>
      </c>
      <c r="E84" s="86" t="s">
        <v>947</v>
      </c>
      <c r="F84" s="86" t="s">
        <v>41</v>
      </c>
      <c r="G84" s="65"/>
      <c r="H84" s="65">
        <v>1995.0</v>
      </c>
      <c r="I84" s="86" t="s">
        <v>24</v>
      </c>
      <c r="J84" s="86" t="s">
        <v>995</v>
      </c>
      <c r="K84" s="67" t="s">
        <v>996</v>
      </c>
      <c r="L84" s="68" t="s">
        <v>703</v>
      </c>
      <c r="M84" s="68"/>
      <c r="N84" s="68" t="s">
        <v>997</v>
      </c>
      <c r="O84" s="87" t="s">
        <v>823</v>
      </c>
    </row>
    <row r="85">
      <c r="A85" s="71">
        <v>10385.0</v>
      </c>
      <c r="B85" s="93" t="s">
        <v>998</v>
      </c>
      <c r="C85" s="72" t="s">
        <v>999</v>
      </c>
      <c r="D85" s="93" t="s">
        <v>946</v>
      </c>
      <c r="E85" s="93" t="s">
        <v>947</v>
      </c>
      <c r="F85" s="93" t="s">
        <v>41</v>
      </c>
      <c r="G85" s="56"/>
      <c r="H85" s="56">
        <v>2018.0</v>
      </c>
      <c r="I85" s="93" t="s">
        <v>948</v>
      </c>
      <c r="J85" s="94" t="s">
        <v>1000</v>
      </c>
      <c r="K85" s="73" t="s">
        <v>1001</v>
      </c>
      <c r="L85" s="74" t="s">
        <v>703</v>
      </c>
      <c r="M85" s="75" t="s">
        <v>24</v>
      </c>
      <c r="N85" s="74" t="s">
        <v>1002</v>
      </c>
      <c r="O85" s="95" t="s">
        <v>1003</v>
      </c>
    </row>
    <row r="86">
      <c r="A86" s="57">
        <v>10409.0</v>
      </c>
      <c r="B86" s="91" t="s">
        <v>1004</v>
      </c>
      <c r="C86" s="59" t="str">
        <f>IFERROR(__xludf.DUMMYFUNCTION("GOOGLETRANSLATE(B86)"),"Notice of the National Development and Reform Commission and other departments on printing and issuing the ""Implementation Plan for Promoting Green Consumption""")</f>
        <v>Notice of the National Development and Reform Commission and other departments on printing and issuing the "Implementation Plan for Promoting Green Consumption"</v>
      </c>
      <c r="D86" s="83" t="s">
        <v>946</v>
      </c>
      <c r="E86" s="83" t="s">
        <v>947</v>
      </c>
      <c r="F86" s="83" t="s">
        <v>272</v>
      </c>
      <c r="G86" s="59"/>
      <c r="H86" s="59">
        <v>2022.0</v>
      </c>
      <c r="I86" s="83" t="s">
        <v>948</v>
      </c>
      <c r="J86" s="96" t="s">
        <v>1005</v>
      </c>
      <c r="K86" s="60" t="s">
        <v>1006</v>
      </c>
      <c r="L86" s="61" t="s">
        <v>703</v>
      </c>
      <c r="M86" s="61"/>
      <c r="N86" s="61" t="s">
        <v>275</v>
      </c>
      <c r="O86" s="84" t="s">
        <v>979</v>
      </c>
    </row>
    <row r="87">
      <c r="A87" s="42">
        <v>10409.0</v>
      </c>
      <c r="B87" s="97" t="s">
        <v>1007</v>
      </c>
      <c r="C87" s="95" t="s">
        <v>1008</v>
      </c>
      <c r="D87" s="88" t="s">
        <v>946</v>
      </c>
      <c r="E87" s="88" t="s">
        <v>947</v>
      </c>
      <c r="F87" s="88" t="s">
        <v>234</v>
      </c>
      <c r="G87" s="56"/>
      <c r="H87" s="56">
        <v>2022.0</v>
      </c>
      <c r="I87" s="88" t="s">
        <v>948</v>
      </c>
      <c r="J87" s="47" t="s">
        <v>1009</v>
      </c>
      <c r="K87" s="38" t="s">
        <v>1010</v>
      </c>
      <c r="L87" s="39" t="s">
        <v>703</v>
      </c>
      <c r="M87" s="39"/>
      <c r="N87" s="39" t="s">
        <v>23</v>
      </c>
      <c r="O87" s="97" t="s">
        <v>1011</v>
      </c>
    </row>
    <row r="88">
      <c r="A88" s="57">
        <v>10456.0</v>
      </c>
      <c r="B88" s="82" t="s">
        <v>1012</v>
      </c>
      <c r="C88" s="59" t="str">
        <f>IFERROR(__xludf.DUMMYFUNCTION("GOOGLETRANSLATE(B88)"),"Report on the implementation of the National Economic and Social Development Plan for 2021 and the draft of the National Economic and Social Development Plan for 2022")</f>
        <v>Report on the implementation of the National Economic and Social Development Plan for 2021 and the draft of the National Economic and Social Development Plan for 2022</v>
      </c>
      <c r="D88" s="83" t="s">
        <v>946</v>
      </c>
      <c r="E88" s="83" t="s">
        <v>947</v>
      </c>
      <c r="F88" s="83" t="s">
        <v>295</v>
      </c>
      <c r="G88" s="59"/>
      <c r="H88" s="59">
        <v>2022.0</v>
      </c>
      <c r="I88" s="83" t="s">
        <v>948</v>
      </c>
      <c r="J88" s="83" t="s">
        <v>1013</v>
      </c>
      <c r="K88" s="60" t="s">
        <v>1014</v>
      </c>
      <c r="L88" s="61" t="s">
        <v>703</v>
      </c>
      <c r="M88" s="61"/>
      <c r="N88" s="61" t="s">
        <v>275</v>
      </c>
      <c r="O88" s="84" t="s">
        <v>1015</v>
      </c>
    </row>
    <row r="89">
      <c r="A89" s="57">
        <v>10456.0</v>
      </c>
      <c r="B89" s="82" t="s">
        <v>1016</v>
      </c>
      <c r="C89" s="59" t="str">
        <f>IFERROR(__xludf.DUMMYFUNCTION("GOOGLETRANSLATE(B89)"),"The Fifth Session of the 13th National People's Congress approved the implementation of the implementation of the National Economic and Social Development Plan for the implementation of the National Economic and Social Development Plan in 2022")</f>
        <v>The Fifth Session of the 13th National People's Congress approved the implementation of the implementation of the National Economic and Social Development Plan for the implementation of the National Economic and Social Development Plan in 2022</v>
      </c>
      <c r="D89" s="83" t="s">
        <v>946</v>
      </c>
      <c r="E89" s="83" t="s">
        <v>947</v>
      </c>
      <c r="F89" s="83" t="s">
        <v>295</v>
      </c>
      <c r="G89" s="59"/>
      <c r="H89" s="59">
        <v>2022.0</v>
      </c>
      <c r="I89" s="83" t="s">
        <v>948</v>
      </c>
      <c r="J89" s="77" t="s">
        <v>1017</v>
      </c>
      <c r="K89" s="60" t="s">
        <v>1018</v>
      </c>
      <c r="L89" s="61" t="s">
        <v>703</v>
      </c>
      <c r="M89" s="61"/>
      <c r="N89" s="61" t="s">
        <v>275</v>
      </c>
      <c r="O89" s="84" t="s">
        <v>1019</v>
      </c>
    </row>
    <row r="90">
      <c r="A90" s="64">
        <v>10456.0</v>
      </c>
      <c r="B90" s="86" t="s">
        <v>1020</v>
      </c>
      <c r="C90" s="65" t="str">
        <f>IFERROR(__xludf.DUMMYFUNCTION("GOOGLETRANSLATE(B90)"),"Report on the Implementation of the 2021 Plan for National Economic and Social Development and on the 2022 Draft Plan for National Economic and Social Development")</f>
        <v>Report on the Implementation of the 2021 Plan for National Economic and Social Development and on the 2022 Draft Plan for National Economic and Social Development</v>
      </c>
      <c r="D90" s="86" t="s">
        <v>946</v>
      </c>
      <c r="E90" s="86" t="s">
        <v>947</v>
      </c>
      <c r="F90" s="90" t="s">
        <v>295</v>
      </c>
      <c r="G90" s="65"/>
      <c r="H90" s="65">
        <v>2022.0</v>
      </c>
      <c r="I90" s="86" t="s">
        <v>24</v>
      </c>
      <c r="J90" s="70" t="s">
        <v>1021</v>
      </c>
      <c r="K90" s="67" t="s">
        <v>1022</v>
      </c>
      <c r="L90" s="68" t="s">
        <v>703</v>
      </c>
      <c r="M90" s="68"/>
      <c r="N90" s="68" t="s">
        <v>23</v>
      </c>
      <c r="O90" s="87" t="s">
        <v>1023</v>
      </c>
    </row>
    <row r="91">
      <c r="A91" s="64">
        <v>10485.0</v>
      </c>
      <c r="B91" s="98" t="s">
        <v>1024</v>
      </c>
      <c r="C91" s="65" t="str">
        <f>IFERROR(__xludf.DUMMYFUNCTION("GOOGLETRANSLATE(B91)"),"One picture understands | The long-term planning of the hydrogen energy industry (2021-2035)")</f>
        <v>One picture understands | The long-term planning of the hydrogen energy industry (2021-2035)</v>
      </c>
      <c r="D91" s="86" t="s">
        <v>946</v>
      </c>
      <c r="E91" s="86" t="s">
        <v>947</v>
      </c>
      <c r="F91" s="86" t="s">
        <v>234</v>
      </c>
      <c r="G91" s="65"/>
      <c r="H91" s="65">
        <v>2022.0</v>
      </c>
      <c r="I91" s="86" t="s">
        <v>948</v>
      </c>
      <c r="J91" s="99" t="s">
        <v>1025</v>
      </c>
      <c r="K91" s="67" t="s">
        <v>1026</v>
      </c>
      <c r="L91" s="68" t="s">
        <v>703</v>
      </c>
      <c r="M91" s="68"/>
      <c r="N91" s="68" t="s">
        <v>275</v>
      </c>
      <c r="O91" s="87" t="s">
        <v>823</v>
      </c>
    </row>
    <row r="92">
      <c r="A92" s="42">
        <v>10485.0</v>
      </c>
      <c r="B92" s="97" t="s">
        <v>1027</v>
      </c>
      <c r="C92" s="100" t="s">
        <v>1028</v>
      </c>
      <c r="D92" s="88" t="s">
        <v>946</v>
      </c>
      <c r="E92" s="88" t="s">
        <v>947</v>
      </c>
      <c r="F92" s="88" t="s">
        <v>234</v>
      </c>
      <c r="G92" s="56"/>
      <c r="H92" s="56">
        <v>2022.0</v>
      </c>
      <c r="I92" s="88" t="s">
        <v>948</v>
      </c>
      <c r="J92" s="47" t="s">
        <v>1029</v>
      </c>
      <c r="K92" s="38" t="s">
        <v>1030</v>
      </c>
      <c r="L92" s="39" t="s">
        <v>703</v>
      </c>
      <c r="M92" s="39"/>
      <c r="N92" s="39" t="s">
        <v>23</v>
      </c>
      <c r="O92" s="97" t="s">
        <v>1011</v>
      </c>
    </row>
    <row r="93">
      <c r="A93" s="42">
        <v>10486.0</v>
      </c>
      <c r="B93" s="97" t="s">
        <v>1031</v>
      </c>
      <c r="C93" s="88" t="s">
        <v>1032</v>
      </c>
      <c r="D93" s="88" t="s">
        <v>946</v>
      </c>
      <c r="E93" s="88" t="s">
        <v>947</v>
      </c>
      <c r="F93" s="88" t="s">
        <v>234</v>
      </c>
      <c r="G93" s="56"/>
      <c r="H93" s="56">
        <v>2022.0</v>
      </c>
      <c r="I93" s="88" t="s">
        <v>948</v>
      </c>
      <c r="J93" s="88" t="s">
        <v>1033</v>
      </c>
      <c r="K93" s="38" t="s">
        <v>1034</v>
      </c>
      <c r="L93" s="39" t="s">
        <v>703</v>
      </c>
      <c r="M93" s="39"/>
      <c r="N93" s="39" t="s">
        <v>23</v>
      </c>
      <c r="O93" s="97" t="s">
        <v>1011</v>
      </c>
    </row>
    <row r="94">
      <c r="A94" s="42">
        <v>10486.0</v>
      </c>
      <c r="B94" s="88" t="s">
        <v>1032</v>
      </c>
      <c r="C94" s="44" t="str">
        <f>IFERROR(__xludf.DUMMYFUNCTION("GOOGLETRANSLATE(B94)"),"""14th Five-Year"" Plan on Modern Energy System Planning")</f>
        <v>"14th Five-Year" Plan on Modern Energy System Planning</v>
      </c>
      <c r="D94" s="88" t="s">
        <v>946</v>
      </c>
      <c r="E94" s="88" t="s">
        <v>947</v>
      </c>
      <c r="F94" s="88" t="s">
        <v>234</v>
      </c>
      <c r="G94" s="56"/>
      <c r="H94" s="56">
        <v>2022.0</v>
      </c>
      <c r="I94" s="88" t="s">
        <v>24</v>
      </c>
      <c r="J94" s="47" t="s">
        <v>1035</v>
      </c>
      <c r="K94" s="38" t="s">
        <v>1036</v>
      </c>
      <c r="L94" s="39" t="s">
        <v>703</v>
      </c>
      <c r="M94" s="39"/>
      <c r="N94" s="39" t="s">
        <v>23</v>
      </c>
      <c r="O94" s="97" t="s">
        <v>1011</v>
      </c>
    </row>
    <row r="95">
      <c r="A95" s="57">
        <v>1118.0</v>
      </c>
      <c r="B95" s="83"/>
      <c r="C95" s="59" t="str">
        <f>IFERROR(__xludf.DUMMYFUNCTION("GOOGLETRANSLATE(B95)"),"#VALUE!")</f>
        <v>#VALUE!</v>
      </c>
      <c r="D95" s="83" t="s">
        <v>1037</v>
      </c>
      <c r="E95" s="83" t="s">
        <v>1038</v>
      </c>
      <c r="F95" s="83"/>
      <c r="G95" s="59"/>
      <c r="H95" s="59"/>
      <c r="I95" s="83"/>
      <c r="J95" s="96" t="s">
        <v>1039</v>
      </c>
      <c r="K95" s="60" t="s">
        <v>1040</v>
      </c>
      <c r="L95" s="61" t="s">
        <v>703</v>
      </c>
      <c r="M95" s="61"/>
      <c r="N95" s="61" t="s">
        <v>92</v>
      </c>
      <c r="O95" s="84" t="s">
        <v>893</v>
      </c>
    </row>
    <row r="96">
      <c r="A96" s="57">
        <v>1118.0</v>
      </c>
      <c r="B96" s="83"/>
      <c r="C96" s="59" t="str">
        <f>IFERROR(__xludf.DUMMYFUNCTION("GOOGLETRANSLATE(B96)"),"#VALUE!")</f>
        <v>#VALUE!</v>
      </c>
      <c r="D96" s="83" t="s">
        <v>1037</v>
      </c>
      <c r="E96" s="83" t="s">
        <v>1038</v>
      </c>
      <c r="F96" s="83"/>
      <c r="G96" s="59"/>
      <c r="H96" s="59"/>
      <c r="I96" s="83"/>
      <c r="J96" s="77" t="s">
        <v>1041</v>
      </c>
      <c r="K96" s="60" t="s">
        <v>1042</v>
      </c>
      <c r="L96" s="61" t="s">
        <v>703</v>
      </c>
      <c r="M96" s="61"/>
      <c r="N96" s="61" t="s">
        <v>92</v>
      </c>
      <c r="O96" s="84" t="s">
        <v>893</v>
      </c>
    </row>
    <row r="97">
      <c r="A97" s="42">
        <v>8599.0</v>
      </c>
      <c r="B97" s="88" t="s">
        <v>1043</v>
      </c>
      <c r="C97" s="36" t="str">
        <f>IFERROR(__xludf.DUMMYFUNCTION("GOOGLETRANSLATE(B97)"),"Decree 1625 of 2016")</f>
        <v>Decree 1625 of 2016</v>
      </c>
      <c r="D97" s="88" t="s">
        <v>1037</v>
      </c>
      <c r="E97" s="88" t="s">
        <v>1038</v>
      </c>
      <c r="F97" s="88" t="s">
        <v>18</v>
      </c>
      <c r="G97" s="44"/>
      <c r="H97" s="44">
        <v>2016.0</v>
      </c>
      <c r="I97" s="88" t="s">
        <v>924</v>
      </c>
      <c r="J97" s="88" t="s">
        <v>1044</v>
      </c>
      <c r="K97" s="38" t="s">
        <v>1045</v>
      </c>
      <c r="L97" s="39" t="s">
        <v>703</v>
      </c>
      <c r="M97" s="39"/>
      <c r="N97" s="39" t="s">
        <v>23</v>
      </c>
      <c r="O97" s="89"/>
    </row>
    <row r="98">
      <c r="A98" s="42">
        <v>8599.0</v>
      </c>
      <c r="B98" s="88" t="s">
        <v>1046</v>
      </c>
      <c r="C98" s="36" t="str">
        <f>IFERROR(__xludf.DUMMYFUNCTION("GOOGLETRANSLATE(B98)"),"Decree 926 by which the epigraph of Part 5 is modified and title 5 is added to Part 5 of Book 1 of Decree 1625 of 2016 Single Regulatory in Tax Matter and Title 11 of Part 2 of Book 2 to Decree 1076 of 2015 only regulatory of the environment and sustainab"&amp;"le development sector, to regulate paragraph 3 of article 221 and paragraph 2 of article 222 of Law 1819 of 2016")</f>
        <v>Decree 926 by which the epigraph of Part 5 is modified and title 5 is added to Part 5 of Book 1 of Decree 1625 of 2016 Single Regulatory in Tax Matter and Title 11 of Part 2 of Book 2 to Decree 1076 of 2015 only regulatory of the environment and sustainable development sector, to regulate paragraph 3 of article 221 and paragraph 2 of article 222 of Law 1819 of 2016</v>
      </c>
      <c r="D98" s="88" t="s">
        <v>1037</v>
      </c>
      <c r="E98" s="88" t="s">
        <v>1038</v>
      </c>
      <c r="F98" s="88" t="s">
        <v>18</v>
      </c>
      <c r="G98" s="44"/>
      <c r="H98" s="44">
        <v>2017.0</v>
      </c>
      <c r="I98" s="88" t="s">
        <v>924</v>
      </c>
      <c r="J98" s="50" t="s">
        <v>1047</v>
      </c>
      <c r="K98" s="38" t="s">
        <v>1048</v>
      </c>
      <c r="L98" s="39" t="s">
        <v>703</v>
      </c>
      <c r="M98" s="39"/>
      <c r="N98" s="39" t="s">
        <v>23</v>
      </c>
      <c r="O98" s="89"/>
    </row>
    <row r="99">
      <c r="A99" s="42">
        <v>8599.0</v>
      </c>
      <c r="B99" s="88" t="s">
        <v>1049</v>
      </c>
      <c r="C99" s="36" t="str">
        <f>IFERROR(__xludf.DUMMYFUNCTION("GOOGLETRANSLATE(B99)"),"Law 1819 of 2016 through which a structural tax reform is adopted, the mechanisms for the Luncha against evasion and fiscal avoidance are strengthened, and other provisions are issued")</f>
        <v>Law 1819 of 2016 through which a structural tax reform is adopted, the mechanisms for the Luncha against evasion and fiscal avoidance are strengthened, and other provisions are issued</v>
      </c>
      <c r="D99" s="88" t="s">
        <v>1037</v>
      </c>
      <c r="E99" s="88" t="s">
        <v>1038</v>
      </c>
      <c r="F99" s="88" t="s">
        <v>41</v>
      </c>
      <c r="G99" s="44"/>
      <c r="H99" s="44">
        <v>2016.0</v>
      </c>
      <c r="I99" s="88" t="s">
        <v>924</v>
      </c>
      <c r="J99" s="45" t="s">
        <v>1050</v>
      </c>
      <c r="K99" s="38" t="s">
        <v>1051</v>
      </c>
      <c r="L99" s="39" t="s">
        <v>703</v>
      </c>
      <c r="M99" s="39"/>
      <c r="N99" s="39" t="s">
        <v>23</v>
      </c>
      <c r="O99" s="89"/>
    </row>
    <row r="100">
      <c r="A100" s="57">
        <v>9090.0</v>
      </c>
      <c r="B100" s="83" t="s">
        <v>1052</v>
      </c>
      <c r="C100" s="59" t="str">
        <f>IFERROR(__xludf.DUMMYFUNCTION("GOOGLETRANSLATE(B100)"),"Decree 308 of 2016 through which the National Disaster Risk Management Plan is adopted")</f>
        <v>Decree 308 of 2016 through which the National Disaster Risk Management Plan is adopted</v>
      </c>
      <c r="D100" s="83" t="s">
        <v>1037</v>
      </c>
      <c r="E100" s="83" t="s">
        <v>1038</v>
      </c>
      <c r="F100" s="83" t="s">
        <v>18</v>
      </c>
      <c r="G100" s="59"/>
      <c r="H100" s="59">
        <v>2016.0</v>
      </c>
      <c r="I100" s="83" t="s">
        <v>924</v>
      </c>
      <c r="J100" s="83" t="s">
        <v>1053</v>
      </c>
      <c r="K100" s="60" t="s">
        <v>1054</v>
      </c>
      <c r="L100" s="61" t="s">
        <v>703</v>
      </c>
      <c r="M100" s="61"/>
      <c r="N100" s="61" t="s">
        <v>37</v>
      </c>
      <c r="O100" s="84" t="s">
        <v>1055</v>
      </c>
    </row>
    <row r="101">
      <c r="A101" s="42">
        <v>9090.0</v>
      </c>
      <c r="B101" s="88" t="s">
        <v>1056</v>
      </c>
      <c r="C101" s="36" t="str">
        <f>IFERROR(__xludf.DUMMYFUNCTION("GOOGLETRANSLATE(B101)"),"Decree number 308 of 2016 through which the National Disaster Risk Management Plan is adopted")</f>
        <v>Decree number 308 of 2016 through which the National Disaster Risk Management Plan is adopted</v>
      </c>
      <c r="D101" s="88" t="s">
        <v>1037</v>
      </c>
      <c r="E101" s="88" t="s">
        <v>1038</v>
      </c>
      <c r="F101" s="88" t="s">
        <v>18</v>
      </c>
      <c r="G101" s="44"/>
      <c r="H101" s="44">
        <v>2016.0</v>
      </c>
      <c r="I101" s="88" t="s">
        <v>924</v>
      </c>
      <c r="J101" s="45" t="s">
        <v>1057</v>
      </c>
      <c r="K101" s="38" t="s">
        <v>1058</v>
      </c>
      <c r="L101" s="39" t="s">
        <v>703</v>
      </c>
      <c r="M101" s="39"/>
      <c r="N101" s="39" t="s">
        <v>23</v>
      </c>
      <c r="O101" s="89"/>
    </row>
    <row r="102">
      <c r="A102" s="64">
        <v>9090.0</v>
      </c>
      <c r="B102" s="86" t="s">
        <v>1059</v>
      </c>
      <c r="C102" s="65" t="str">
        <f>IFERROR(__xludf.DUMMYFUNCTION("GOOGLETRANSLATE(B102)"),"Decree 308 of 2016")</f>
        <v>Decree 308 of 2016</v>
      </c>
      <c r="D102" s="86" t="s">
        <v>1037</v>
      </c>
      <c r="E102" s="86" t="s">
        <v>1038</v>
      </c>
      <c r="F102" s="86" t="s">
        <v>18</v>
      </c>
      <c r="G102" s="65"/>
      <c r="H102" s="65">
        <v>2016.0</v>
      </c>
      <c r="I102" s="86" t="s">
        <v>924</v>
      </c>
      <c r="J102" s="70" t="s">
        <v>1060</v>
      </c>
      <c r="K102" s="67" t="s">
        <v>1061</v>
      </c>
      <c r="L102" s="68" t="s">
        <v>703</v>
      </c>
      <c r="M102" s="68"/>
      <c r="N102" s="68" t="s">
        <v>23</v>
      </c>
      <c r="O102" s="87" t="s">
        <v>1062</v>
      </c>
    </row>
    <row r="103">
      <c r="A103" s="42">
        <v>9977.0</v>
      </c>
      <c r="B103" s="88" t="s">
        <v>1063</v>
      </c>
      <c r="C103" s="36" t="str">
        <f>IFERROR(__xludf.DUMMYFUNCTION("GOOGLETRANSLATE(B103)"),"National Climate Change Strategy - Colombia Long Term Strategy - E2050")</f>
        <v>National Climate Change Strategy - Colombia Long Term Strategy - E2050</v>
      </c>
      <c r="D103" s="88" t="s">
        <v>1037</v>
      </c>
      <c r="E103" s="88" t="s">
        <v>1038</v>
      </c>
      <c r="F103" s="88" t="s">
        <v>144</v>
      </c>
      <c r="G103" s="44"/>
      <c r="H103" s="44">
        <v>2020.0</v>
      </c>
      <c r="I103" s="88" t="s">
        <v>924</v>
      </c>
      <c r="J103" s="88" t="s">
        <v>1064</v>
      </c>
      <c r="K103" s="38" t="s">
        <v>1065</v>
      </c>
      <c r="L103" s="39" t="s">
        <v>703</v>
      </c>
      <c r="M103" s="39"/>
      <c r="N103" s="39" t="s">
        <v>37</v>
      </c>
      <c r="O103" s="89"/>
    </row>
    <row r="104">
      <c r="A104" s="57">
        <v>9977.0</v>
      </c>
      <c r="B104" s="83" t="s">
        <v>1066</v>
      </c>
      <c r="C104" s="59" t="str">
        <f>IFERROR(__xludf.DUMMYFUNCTION("GOOGLETRANSLATE(B104)"),"E2050 Colombia")</f>
        <v>E2050 Colombia</v>
      </c>
      <c r="D104" s="83" t="s">
        <v>1037</v>
      </c>
      <c r="E104" s="83" t="s">
        <v>1038</v>
      </c>
      <c r="F104" s="83" t="s">
        <v>144</v>
      </c>
      <c r="G104" s="59"/>
      <c r="H104" s="59"/>
      <c r="I104" s="83" t="s">
        <v>924</v>
      </c>
      <c r="J104" s="77" t="s">
        <v>1067</v>
      </c>
      <c r="K104" s="60" t="s">
        <v>1068</v>
      </c>
      <c r="L104" s="61" t="s">
        <v>703</v>
      </c>
      <c r="M104" s="61"/>
      <c r="N104" s="61" t="s">
        <v>326</v>
      </c>
      <c r="O104" s="84" t="s">
        <v>794</v>
      </c>
    </row>
    <row r="105">
      <c r="A105" s="42">
        <v>10109.0</v>
      </c>
      <c r="B105" s="88" t="s">
        <v>1069</v>
      </c>
      <c r="C105" s="36" t="str">
        <f>IFERROR(__xludf.DUMMYFUNCTION("GOOGLETRANSLATE(B105)"),"Resolution number 4-0590 by which a mechanism is defined and implemented that promotes long-term hiring for complementary electric power generation projects to the existing mechanisms in the wholesale energy market in compliance with the objectives establ"&amp;"ished in Decree 0570 of 2018")</f>
        <v>Resolution number 4-0590 by which a mechanism is defined and implemented that promotes long-term hiring for complementary electric power generation projects to the existing mechanisms in the wholesale energy market in compliance with the objectives established in Decree 0570 of 2018</v>
      </c>
      <c r="D105" s="88" t="s">
        <v>1037</v>
      </c>
      <c r="E105" s="88" t="s">
        <v>1038</v>
      </c>
      <c r="F105" s="88" t="s">
        <v>137</v>
      </c>
      <c r="G105" s="44"/>
      <c r="H105" s="44">
        <v>2019.0</v>
      </c>
      <c r="I105" s="88" t="s">
        <v>924</v>
      </c>
      <c r="J105" s="88" t="s">
        <v>1070</v>
      </c>
      <c r="K105" s="38" t="s">
        <v>1071</v>
      </c>
      <c r="L105" s="39" t="s">
        <v>703</v>
      </c>
      <c r="M105" s="39"/>
      <c r="N105" s="39" t="s">
        <v>37</v>
      </c>
      <c r="O105" s="89"/>
    </row>
    <row r="106">
      <c r="A106" s="42">
        <v>10109.0</v>
      </c>
      <c r="B106" s="88" t="s">
        <v>1072</v>
      </c>
      <c r="C106" s="36" t="str">
        <f>IFERROR(__xludf.DUMMYFUNCTION("GOOGLETRANSLATE(B106)"),"Resolution 40141 by which resolution MME 4 0590 of 2019 is modified")</f>
        <v>Resolution 40141 by which resolution MME 4 0590 of 2019 is modified</v>
      </c>
      <c r="D106" s="88" t="s">
        <v>1037</v>
      </c>
      <c r="E106" s="88" t="s">
        <v>1038</v>
      </c>
      <c r="F106" s="88" t="s">
        <v>137</v>
      </c>
      <c r="G106" s="44"/>
      <c r="H106" s="44">
        <v>2021.0</v>
      </c>
      <c r="I106" s="88" t="s">
        <v>924</v>
      </c>
      <c r="J106" s="50" t="s">
        <v>1073</v>
      </c>
      <c r="K106" s="38" t="s">
        <v>1074</v>
      </c>
      <c r="L106" s="39" t="s">
        <v>703</v>
      </c>
      <c r="M106" s="39"/>
      <c r="N106" s="39" t="s">
        <v>37</v>
      </c>
      <c r="O106" s="89"/>
    </row>
    <row r="107">
      <c r="A107" s="42">
        <v>10109.0</v>
      </c>
      <c r="B107" s="88" t="s">
        <v>1075</v>
      </c>
      <c r="C107" s="36" t="str">
        <f>IFERROR(__xludf.DUMMYFUNCTION("GOOGLETRANSLATE(B107)"),"Resolution number 40179 by which the long -term hiring auction for electric power generation projects is convened and the parameters of its application are defined")</f>
        <v>Resolution number 40179 by which the long -term hiring auction for electric power generation projects is convened and the parameters of its application are defined</v>
      </c>
      <c r="D107" s="88" t="s">
        <v>1037</v>
      </c>
      <c r="E107" s="88" t="s">
        <v>1038</v>
      </c>
      <c r="F107" s="88" t="s">
        <v>137</v>
      </c>
      <c r="G107" s="44"/>
      <c r="H107" s="44">
        <v>2021.0</v>
      </c>
      <c r="I107" s="88" t="s">
        <v>924</v>
      </c>
      <c r="J107" s="50" t="s">
        <v>1076</v>
      </c>
      <c r="K107" s="38" t="s">
        <v>1077</v>
      </c>
      <c r="L107" s="39" t="s">
        <v>703</v>
      </c>
      <c r="M107" s="39"/>
      <c r="N107" s="39" t="s">
        <v>37</v>
      </c>
      <c r="O107" s="89"/>
    </row>
    <row r="108">
      <c r="A108" s="64">
        <v>10132.0</v>
      </c>
      <c r="B108" s="86" t="s">
        <v>1078</v>
      </c>
      <c r="C108" s="65" t="str">
        <f>IFERROR(__xludf.DUMMYFUNCTION("GOOGLETRANSLATE(B108)"),"Law 1083 of 2006 by means of which some norms on sustainable urban planning are established and other provisions are issued")</f>
        <v>Law 1083 of 2006 by means of which some norms on sustainable urban planning are established and other provisions are issued</v>
      </c>
      <c r="D108" s="86" t="s">
        <v>1037</v>
      </c>
      <c r="E108" s="86" t="s">
        <v>1038</v>
      </c>
      <c r="F108" s="86" t="s">
        <v>41</v>
      </c>
      <c r="G108" s="65"/>
      <c r="H108" s="65">
        <v>2006.0</v>
      </c>
      <c r="I108" s="86" t="s">
        <v>924</v>
      </c>
      <c r="J108" s="101" t="s">
        <v>1079</v>
      </c>
      <c r="K108" s="67" t="s">
        <v>1080</v>
      </c>
      <c r="L108" s="68" t="s">
        <v>703</v>
      </c>
      <c r="M108" s="68"/>
      <c r="N108" s="68" t="s">
        <v>326</v>
      </c>
      <c r="O108" s="87" t="s">
        <v>823</v>
      </c>
    </row>
    <row r="109">
      <c r="A109" s="64">
        <v>10132.0</v>
      </c>
      <c r="B109" s="86" t="s">
        <v>1081</v>
      </c>
      <c r="C109" s="65" t="str">
        <f>IFERROR(__xludf.DUMMYFUNCTION("GOOGLETRANSLATE(B109)"),"Decree 798 of 2010 by which Law 1083 of 2006 is partially regulated")</f>
        <v>Decree 798 of 2010 by which Law 1083 of 2006 is partially regulated</v>
      </c>
      <c r="D109" s="86" t="s">
        <v>1037</v>
      </c>
      <c r="E109" s="86" t="s">
        <v>1038</v>
      </c>
      <c r="F109" s="86" t="s">
        <v>18</v>
      </c>
      <c r="G109" s="65"/>
      <c r="H109" s="65">
        <v>2010.0</v>
      </c>
      <c r="I109" s="86" t="s">
        <v>924</v>
      </c>
      <c r="J109" s="102" t="s">
        <v>1082</v>
      </c>
      <c r="K109" s="67" t="s">
        <v>1083</v>
      </c>
      <c r="L109" s="68" t="s">
        <v>703</v>
      </c>
      <c r="M109" s="68"/>
      <c r="N109" s="68" t="s">
        <v>326</v>
      </c>
      <c r="O109" s="87" t="s">
        <v>823</v>
      </c>
    </row>
    <row r="110">
      <c r="A110" s="42">
        <v>8636.0</v>
      </c>
      <c r="B110" s="88" t="s">
        <v>1084</v>
      </c>
      <c r="C110" s="36" t="str">
        <f>IFERROR(__xludf.DUMMYFUNCTION("GOOGLETRANSLATE(B110)"),"Kaveinga Tapapa Climate &amp; Disaster Compatible Development Policy 2013 - 2016")</f>
        <v>Kaveinga Tapapa Climate &amp; Disaster Compatible Development Policy 2013 - 2016</v>
      </c>
      <c r="D110" s="88" t="s">
        <v>1085</v>
      </c>
      <c r="E110" s="88" t="s">
        <v>1086</v>
      </c>
      <c r="F110" s="88" t="s">
        <v>407</v>
      </c>
      <c r="G110" s="44"/>
      <c r="H110" s="44">
        <v>2013.0</v>
      </c>
      <c r="I110" s="88" t="s">
        <v>24</v>
      </c>
      <c r="J110" s="88" t="s">
        <v>1087</v>
      </c>
      <c r="K110" s="38" t="s">
        <v>1088</v>
      </c>
      <c r="L110" s="39" t="s">
        <v>703</v>
      </c>
      <c r="M110" s="39"/>
      <c r="N110" s="39" t="s">
        <v>23</v>
      </c>
      <c r="O110" s="89"/>
    </row>
    <row r="111">
      <c r="A111" s="64">
        <v>8636.0</v>
      </c>
      <c r="B111" s="86" t="s">
        <v>1084</v>
      </c>
      <c r="C111" s="65" t="str">
        <f>IFERROR(__xludf.DUMMYFUNCTION("GOOGLETRANSLATE(B111)"),"Kaveinga Tapapa Climate &amp; Disaster Compatible Development Policy 2013 - 2016")</f>
        <v>Kaveinga Tapapa Climate &amp; Disaster Compatible Development Policy 2013 - 2016</v>
      </c>
      <c r="D111" s="86" t="s">
        <v>1085</v>
      </c>
      <c r="E111" s="86" t="s">
        <v>1086</v>
      </c>
      <c r="F111" s="86" t="s">
        <v>407</v>
      </c>
      <c r="G111" s="65"/>
      <c r="H111" s="65">
        <v>2013.0</v>
      </c>
      <c r="I111" s="86" t="s">
        <v>24</v>
      </c>
      <c r="J111" s="70" t="s">
        <v>1089</v>
      </c>
      <c r="K111" s="67" t="s">
        <v>1090</v>
      </c>
      <c r="L111" s="68" t="s">
        <v>703</v>
      </c>
      <c r="M111" s="68"/>
      <c r="N111" s="68" t="s">
        <v>23</v>
      </c>
      <c r="O111" s="87" t="s">
        <v>1091</v>
      </c>
    </row>
    <row r="112">
      <c r="A112" s="42">
        <v>1128.0</v>
      </c>
      <c r="B112" s="88" t="s">
        <v>1092</v>
      </c>
      <c r="C112" s="36" t="str">
        <f>IFERROR(__xludf.DUMMYFUNCTION("GOOGLETRANSLATE(B112)"),"Executive Decree: 35091 of 09/01/2009 Biofuel Regulation")</f>
        <v>Executive Decree: 35091 of 09/01/2009 Biofuel Regulation</v>
      </c>
      <c r="D112" s="88" t="s">
        <v>1093</v>
      </c>
      <c r="E112" s="88" t="s">
        <v>1094</v>
      </c>
      <c r="F112" s="88" t="s">
        <v>18</v>
      </c>
      <c r="G112" s="44"/>
      <c r="H112" s="44">
        <v>2009.0</v>
      </c>
      <c r="I112" s="88" t="s">
        <v>924</v>
      </c>
      <c r="J112" s="88" t="s">
        <v>1095</v>
      </c>
      <c r="K112" s="38" t="s">
        <v>1096</v>
      </c>
      <c r="L112" s="39" t="s">
        <v>703</v>
      </c>
      <c r="M112" s="39"/>
      <c r="N112" s="39" t="s">
        <v>23</v>
      </c>
      <c r="O112" s="89"/>
    </row>
    <row r="113">
      <c r="A113" s="103">
        <v>1128.0</v>
      </c>
      <c r="B113" s="104" t="s">
        <v>1097</v>
      </c>
      <c r="C113" s="36" t="str">
        <f>IFERROR(__xludf.DUMMYFUNCTION("GOOGLETRANSLATE(B113)"),"Regulation of liquid biofuels and their mixtures")</f>
        <v>Regulation of liquid biofuels and their mixtures</v>
      </c>
      <c r="D113" s="104" t="s">
        <v>1093</v>
      </c>
      <c r="E113" s="104" t="s">
        <v>1094</v>
      </c>
      <c r="F113" s="104" t="s">
        <v>18</v>
      </c>
      <c r="G113" s="105"/>
      <c r="H113" s="105">
        <v>2016.0</v>
      </c>
      <c r="I113" s="104" t="s">
        <v>924</v>
      </c>
      <c r="J113" s="50" t="s">
        <v>1098</v>
      </c>
      <c r="K113" s="38" t="s">
        <v>1099</v>
      </c>
      <c r="L113" s="39" t="s">
        <v>703</v>
      </c>
      <c r="M113" s="39"/>
      <c r="N113" s="39" t="s">
        <v>37</v>
      </c>
      <c r="O113" s="89"/>
    </row>
  </sheetData>
  <autoFilter ref="$A$1:$O$113"/>
  <dataValidations>
    <dataValidation type="list" allowBlank="1" sqref="F2:F43 F44:G113">
      <formula1>'_document type values'!$A:$A</formula1>
    </dataValidation>
  </dataValidations>
  <hyperlinks>
    <hyperlink r:id="rId1" ref="K2"/>
    <hyperlink r:id="rId2" ref="J3"/>
    <hyperlink r:id="rId3" ref="K3"/>
    <hyperlink r:id="rId4" ref="J4"/>
    <hyperlink r:id="rId5" ref="K4"/>
    <hyperlink r:id="rId6" ref="K5"/>
    <hyperlink r:id="rId7" ref="J6"/>
    <hyperlink r:id="rId8" ref="K6"/>
    <hyperlink r:id="rId9" ref="K7"/>
    <hyperlink r:id="rId10" ref="K8"/>
    <hyperlink r:id="rId11" ref="J9"/>
    <hyperlink r:id="rId12" ref="K9"/>
    <hyperlink r:id="rId13" ref="K10"/>
    <hyperlink r:id="rId14" ref="J11"/>
    <hyperlink r:id="rId15" ref="K11"/>
    <hyperlink r:id="rId16" ref="K12"/>
    <hyperlink r:id="rId17" ref="K13"/>
    <hyperlink r:id="rId18" ref="K14"/>
    <hyperlink r:id="rId19" ref="K15"/>
    <hyperlink r:id="rId20" ref="K16"/>
    <hyperlink r:id="rId21" ref="K17"/>
    <hyperlink r:id="rId22" ref="K18"/>
    <hyperlink r:id="rId23" ref="K19"/>
    <hyperlink r:id="rId24" ref="K20"/>
    <hyperlink r:id="rId25" ref="K21"/>
    <hyperlink r:id="rId26" ref="K22"/>
    <hyperlink r:id="rId27" ref="K23"/>
    <hyperlink r:id="rId28" ref="K24"/>
    <hyperlink r:id="rId29" ref="K25"/>
    <hyperlink r:id="rId30" ref="K26"/>
    <hyperlink r:id="rId31" ref="K27"/>
    <hyperlink r:id="rId32" ref="K28"/>
    <hyperlink r:id="rId33" ref="K29"/>
    <hyperlink r:id="rId34" ref="J30"/>
    <hyperlink r:id="rId35" ref="K30"/>
    <hyperlink r:id="rId36" ref="K31"/>
    <hyperlink r:id="rId37" ref="K32"/>
    <hyperlink r:id="rId38" ref="K33"/>
    <hyperlink r:id="rId39" ref="K34"/>
    <hyperlink r:id="rId40" ref="K35"/>
    <hyperlink r:id="rId41" ref="K36"/>
    <hyperlink r:id="rId42" ref="K37"/>
    <hyperlink r:id="rId43" ref="K38"/>
    <hyperlink r:id="rId44" ref="K39"/>
    <hyperlink r:id="rId45" ref="K40"/>
    <hyperlink r:id="rId46" ref="K41"/>
    <hyperlink r:id="rId47" ref="K42"/>
    <hyperlink r:id="rId48" ref="K43"/>
    <hyperlink r:id="rId49" ref="K44"/>
    <hyperlink r:id="rId50" ref="K45"/>
    <hyperlink r:id="rId51" ref="K46"/>
    <hyperlink r:id="rId52" ref="K47"/>
    <hyperlink r:id="rId53" ref="K48"/>
    <hyperlink r:id="rId54" ref="K49"/>
    <hyperlink r:id="rId55" ref="K50"/>
    <hyperlink r:id="rId56" ref="K51"/>
    <hyperlink r:id="rId57" ref="K52"/>
    <hyperlink r:id="rId58" ref="K53"/>
    <hyperlink r:id="rId59" ref="K54"/>
    <hyperlink r:id="rId60" ref="K55"/>
    <hyperlink r:id="rId61" ref="K56"/>
    <hyperlink r:id="rId62" location="h-791364|en" ref="J57"/>
    <hyperlink r:id="rId63" location="h-791364" ref="K57"/>
    <hyperlink r:id="rId64" location="toc3|en" ref="J58"/>
    <hyperlink r:id="rId65" location="toc3" ref="K58"/>
    <hyperlink r:id="rId66" ref="K59"/>
    <hyperlink r:id="rId67" ref="K60"/>
    <hyperlink r:id="rId68" ref="K61"/>
    <hyperlink r:id="rId69" ref="K62"/>
    <hyperlink r:id="rId70" ref="K63"/>
    <hyperlink r:id="rId71" ref="K64"/>
    <hyperlink r:id="rId72" ref="K65"/>
    <hyperlink r:id="rId73" ref="K66"/>
    <hyperlink r:id="rId74" ref="K67"/>
    <hyperlink r:id="rId75" ref="J68"/>
    <hyperlink r:id="rId76" ref="K68"/>
    <hyperlink r:id="rId77" ref="K69"/>
    <hyperlink r:id="rId78" ref="K70"/>
    <hyperlink r:id="rId79" ref="K71"/>
    <hyperlink r:id="rId80" ref="K72"/>
    <hyperlink r:id="rId81" ref="K73"/>
    <hyperlink r:id="rId82" ref="K74"/>
    <hyperlink r:id="rId83" ref="K75"/>
    <hyperlink r:id="rId84" ref="K76"/>
    <hyperlink r:id="rId85" ref="K77"/>
    <hyperlink r:id="rId86" ref="K78"/>
    <hyperlink r:id="rId87" ref="K79"/>
    <hyperlink r:id="rId88" ref="K80"/>
    <hyperlink r:id="rId89" ref="K81"/>
    <hyperlink r:id="rId90" ref="K82"/>
    <hyperlink r:id="rId91" ref="K83"/>
    <hyperlink r:id="rId92" ref="K84"/>
    <hyperlink r:id="rId93" ref="J85"/>
    <hyperlink r:id="rId94" ref="K85"/>
    <hyperlink r:id="rId95" ref="J86"/>
    <hyperlink r:id="rId96" ref="K86"/>
    <hyperlink r:id="rId97" ref="K87"/>
    <hyperlink r:id="rId98" ref="K88"/>
    <hyperlink r:id="rId99" ref="K89"/>
    <hyperlink r:id="rId100" ref="K90"/>
    <hyperlink r:id="rId101" ref="J91"/>
    <hyperlink r:id="rId102" ref="K91"/>
    <hyperlink r:id="rId103" ref="K92"/>
    <hyperlink r:id="rId104" ref="K93"/>
    <hyperlink r:id="rId105" ref="K94"/>
    <hyperlink r:id="rId106" location="estrategia-colombiana-de-desarrollo-bajo-en-carbono|es" ref="J95"/>
    <hyperlink r:id="rId107" location="estrategia-colombiana-de-desarrollo-bajo-en-carbono" ref="K95"/>
    <hyperlink r:id="rId108" ref="K96"/>
    <hyperlink r:id="rId109" ref="K97"/>
    <hyperlink r:id="rId110" ref="K98"/>
    <hyperlink r:id="rId111" ref="J99"/>
    <hyperlink r:id="rId112" ref="K99"/>
    <hyperlink r:id="rId113" ref="K100"/>
    <hyperlink r:id="rId114" ref="J101"/>
    <hyperlink r:id="rId115" ref="K101"/>
    <hyperlink r:id="rId116" ref="K102"/>
    <hyperlink r:id="rId117" ref="K103"/>
    <hyperlink r:id="rId118" ref="K104"/>
    <hyperlink r:id="rId119" ref="K105"/>
    <hyperlink r:id="rId120" ref="K106"/>
    <hyperlink r:id="rId121" ref="K107"/>
    <hyperlink r:id="rId122" ref="J108"/>
    <hyperlink r:id="rId123" ref="K108"/>
    <hyperlink r:id="rId124" location="0|es" ref="J109"/>
    <hyperlink r:id="rId125" location="0" ref="K109"/>
    <hyperlink r:id="rId126" ref="K110"/>
    <hyperlink r:id="rId127" ref="K111"/>
    <hyperlink r:id="rId128" ref="K112"/>
    <hyperlink r:id="rId129" ref="K113"/>
  </hyperlinks>
  <drawing r:id="rId13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hidden="1" min="3" max="3" width="12.63"/>
    <col customWidth="1" min="4" max="4" width="32.25"/>
    <col customWidth="1" min="14" max="14" width="54.63"/>
    <col customWidth="1" min="15" max="16" width="13.88"/>
    <col customWidth="1" min="17" max="17" width="136.38"/>
  </cols>
  <sheetData>
    <row r="1">
      <c r="A1" s="106" t="s">
        <v>0</v>
      </c>
      <c r="B1" s="106" t="s">
        <v>1</v>
      </c>
      <c r="C1" s="106" t="s">
        <v>422</v>
      </c>
      <c r="D1" s="106" t="s">
        <v>3</v>
      </c>
      <c r="E1" s="106" t="s">
        <v>4</v>
      </c>
      <c r="F1" s="106" t="s">
        <v>423</v>
      </c>
      <c r="G1" s="106" t="s">
        <v>424</v>
      </c>
      <c r="H1" s="106" t="s">
        <v>425</v>
      </c>
      <c r="I1" s="106" t="s">
        <v>426</v>
      </c>
      <c r="J1" s="106" t="s">
        <v>427</v>
      </c>
      <c r="K1" s="106" t="s">
        <v>428</v>
      </c>
      <c r="L1" s="106" t="s">
        <v>429</v>
      </c>
      <c r="M1" s="106" t="s">
        <v>430</v>
      </c>
      <c r="N1" s="106" t="s">
        <v>7</v>
      </c>
      <c r="O1" s="106" t="s">
        <v>8</v>
      </c>
      <c r="P1" s="106" t="s">
        <v>9</v>
      </c>
      <c r="Q1" s="107"/>
      <c r="R1" s="108"/>
      <c r="S1" s="27"/>
      <c r="T1" s="27"/>
      <c r="U1" s="27"/>
      <c r="V1" s="27"/>
      <c r="W1" s="27"/>
      <c r="X1" s="27"/>
      <c r="Y1" s="27"/>
      <c r="Z1" s="27"/>
      <c r="AA1" s="27"/>
      <c r="AB1" s="27"/>
      <c r="AC1" s="27"/>
    </row>
    <row r="2">
      <c r="A2" s="109">
        <v>10450.0</v>
      </c>
      <c r="B2" s="110" t="s">
        <v>1100</v>
      </c>
      <c r="C2" s="110" t="s">
        <v>432</v>
      </c>
      <c r="D2" s="110" t="s">
        <v>698</v>
      </c>
      <c r="E2" s="110" t="s">
        <v>699</v>
      </c>
      <c r="F2" s="111"/>
      <c r="G2" s="112" t="s">
        <v>433</v>
      </c>
      <c r="H2" s="110" t="s">
        <v>630</v>
      </c>
      <c r="I2" s="110" t="s">
        <v>18</v>
      </c>
      <c r="J2" s="111"/>
      <c r="K2" s="113"/>
      <c r="L2" s="112" t="s">
        <v>1101</v>
      </c>
      <c r="M2" s="110" t="s">
        <v>1102</v>
      </c>
      <c r="N2" s="110"/>
      <c r="O2" s="110"/>
      <c r="P2" s="110" t="s">
        <v>1103</v>
      </c>
      <c r="Q2" s="114"/>
      <c r="R2" s="115"/>
      <c r="S2" s="17"/>
      <c r="T2" s="17"/>
      <c r="U2" s="17"/>
      <c r="V2" s="17"/>
      <c r="W2" s="17"/>
      <c r="X2" s="17"/>
      <c r="Y2" s="17"/>
      <c r="Z2" s="17"/>
      <c r="AA2" s="17"/>
      <c r="AB2" s="17"/>
      <c r="AC2" s="17"/>
    </row>
    <row r="3">
      <c r="A3" s="109">
        <v>10453.0</v>
      </c>
      <c r="B3" s="110" t="s">
        <v>1104</v>
      </c>
      <c r="C3" s="110" t="s">
        <v>432</v>
      </c>
      <c r="D3" s="110" t="s">
        <v>698</v>
      </c>
      <c r="E3" s="110" t="s">
        <v>699</v>
      </c>
      <c r="F3" s="111"/>
      <c r="G3" s="112" t="s">
        <v>441</v>
      </c>
      <c r="H3" s="110" t="s">
        <v>1105</v>
      </c>
      <c r="I3" s="110" t="s">
        <v>18</v>
      </c>
      <c r="J3" s="111"/>
      <c r="K3" s="112" t="s">
        <v>1106</v>
      </c>
      <c r="L3" s="112" t="s">
        <v>489</v>
      </c>
      <c r="M3" s="110" t="s">
        <v>1107</v>
      </c>
      <c r="N3" s="110"/>
      <c r="O3" s="110"/>
      <c r="P3" s="110" t="s">
        <v>1108</v>
      </c>
      <c r="Q3" s="116"/>
      <c r="R3" s="117"/>
    </row>
    <row r="4">
      <c r="A4" s="109">
        <v>10458.0</v>
      </c>
      <c r="B4" s="110" t="s">
        <v>1109</v>
      </c>
      <c r="C4" s="110" t="s">
        <v>432</v>
      </c>
      <c r="D4" s="110" t="s">
        <v>698</v>
      </c>
      <c r="E4" s="110" t="s">
        <v>699</v>
      </c>
      <c r="F4" s="111"/>
      <c r="G4" s="112" t="s">
        <v>433</v>
      </c>
      <c r="H4" s="110" t="s">
        <v>1110</v>
      </c>
      <c r="I4" s="110" t="s">
        <v>435</v>
      </c>
      <c r="J4" s="111"/>
      <c r="K4" s="113"/>
      <c r="L4" s="112" t="s">
        <v>511</v>
      </c>
      <c r="M4" s="110" t="s">
        <v>1111</v>
      </c>
      <c r="N4" s="110"/>
      <c r="O4" s="110"/>
      <c r="P4" s="110" t="s">
        <v>1112</v>
      </c>
      <c r="Q4" s="118"/>
      <c r="R4" s="117"/>
    </row>
    <row r="5">
      <c r="A5" s="109">
        <v>10460.0</v>
      </c>
      <c r="B5" s="110" t="s">
        <v>1113</v>
      </c>
      <c r="C5" s="110" t="s">
        <v>432</v>
      </c>
      <c r="D5" s="110" t="s">
        <v>698</v>
      </c>
      <c r="E5" s="110" t="s">
        <v>699</v>
      </c>
      <c r="F5" s="111"/>
      <c r="G5" s="112" t="s">
        <v>441</v>
      </c>
      <c r="H5" s="110" t="s">
        <v>1114</v>
      </c>
      <c r="I5" s="110" t="s">
        <v>520</v>
      </c>
      <c r="J5" s="111"/>
      <c r="K5" s="112" t="s">
        <v>1115</v>
      </c>
      <c r="L5" s="112" t="s">
        <v>465</v>
      </c>
      <c r="M5" s="110" t="s">
        <v>1116</v>
      </c>
      <c r="N5" s="110"/>
      <c r="O5" s="110"/>
      <c r="P5" s="110" t="s">
        <v>1117</v>
      </c>
      <c r="Q5" s="119"/>
      <c r="R5" s="117"/>
    </row>
    <row r="6">
      <c r="A6" s="109">
        <v>9863.0</v>
      </c>
      <c r="B6" s="110" t="s">
        <v>1118</v>
      </c>
      <c r="C6" s="110" t="s">
        <v>432</v>
      </c>
      <c r="D6" s="110" t="s">
        <v>731</v>
      </c>
      <c r="E6" s="110" t="s">
        <v>732</v>
      </c>
      <c r="F6" s="110" t="s">
        <v>433</v>
      </c>
      <c r="G6" s="112" t="s">
        <v>433</v>
      </c>
      <c r="H6" s="110" t="s">
        <v>1119</v>
      </c>
      <c r="I6" s="110" t="s">
        <v>407</v>
      </c>
      <c r="J6" s="111"/>
      <c r="K6" s="113"/>
      <c r="L6" s="110" t="s">
        <v>511</v>
      </c>
      <c r="M6" s="110" t="s">
        <v>1120</v>
      </c>
      <c r="N6" s="110"/>
      <c r="O6" s="110"/>
      <c r="P6" s="110" t="s">
        <v>1121</v>
      </c>
      <c r="Q6" s="114"/>
      <c r="R6" s="115"/>
      <c r="S6" s="17"/>
      <c r="T6" s="17"/>
      <c r="U6" s="17"/>
      <c r="V6" s="17"/>
      <c r="W6" s="17"/>
      <c r="X6" s="17"/>
      <c r="Y6" s="17"/>
      <c r="Z6" s="17"/>
      <c r="AA6" s="17"/>
      <c r="AB6" s="17"/>
      <c r="AC6" s="17"/>
    </row>
    <row r="7">
      <c r="A7" s="109">
        <v>1101.0</v>
      </c>
      <c r="B7" s="110" t="s">
        <v>740</v>
      </c>
      <c r="C7" s="110" t="s">
        <v>449</v>
      </c>
      <c r="D7" s="110" t="s">
        <v>735</v>
      </c>
      <c r="E7" s="110" t="s">
        <v>736</v>
      </c>
      <c r="F7" s="110" t="s">
        <v>441</v>
      </c>
      <c r="G7" s="112" t="s">
        <v>433</v>
      </c>
      <c r="H7" s="110" t="s">
        <v>1122</v>
      </c>
      <c r="I7" s="110" t="s">
        <v>41</v>
      </c>
      <c r="J7" s="111"/>
      <c r="K7" s="112" t="s">
        <v>1123</v>
      </c>
      <c r="L7" s="110" t="s">
        <v>593</v>
      </c>
      <c r="M7" s="110" t="s">
        <v>1124</v>
      </c>
      <c r="N7" s="110"/>
      <c r="O7" s="110"/>
      <c r="P7" s="110" t="s">
        <v>1125</v>
      </c>
      <c r="Q7" s="119"/>
      <c r="R7" s="117"/>
    </row>
    <row r="8">
      <c r="A8" s="109">
        <v>1102.0</v>
      </c>
      <c r="B8" s="110" t="s">
        <v>1126</v>
      </c>
      <c r="C8" s="110" t="s">
        <v>449</v>
      </c>
      <c r="D8" s="110" t="s">
        <v>735</v>
      </c>
      <c r="E8" s="110" t="s">
        <v>736</v>
      </c>
      <c r="F8" s="111"/>
      <c r="G8" s="112" t="s">
        <v>433</v>
      </c>
      <c r="H8" s="110" t="s">
        <v>434</v>
      </c>
      <c r="I8" s="110" t="s">
        <v>1127</v>
      </c>
      <c r="J8" s="111"/>
      <c r="K8" s="112" t="s">
        <v>653</v>
      </c>
      <c r="L8" s="112" t="s">
        <v>1128</v>
      </c>
      <c r="M8" s="110" t="s">
        <v>1129</v>
      </c>
      <c r="N8" s="110"/>
      <c r="O8" s="110"/>
      <c r="P8" s="110" t="s">
        <v>1130</v>
      </c>
      <c r="Q8" s="120"/>
      <c r="R8" s="119"/>
      <c r="S8" s="17"/>
      <c r="T8" s="17"/>
      <c r="U8" s="17"/>
      <c r="V8" s="17"/>
      <c r="W8" s="17"/>
      <c r="X8" s="17"/>
      <c r="Y8" s="17"/>
      <c r="Z8" s="17"/>
      <c r="AA8" s="17"/>
      <c r="AB8" s="17"/>
      <c r="AC8" s="17"/>
    </row>
    <row r="9">
      <c r="A9" s="109">
        <v>1103.0</v>
      </c>
      <c r="B9" s="110" t="s">
        <v>752</v>
      </c>
      <c r="C9" s="110" t="s">
        <v>449</v>
      </c>
      <c r="D9" s="110" t="s">
        <v>735</v>
      </c>
      <c r="E9" s="110" t="s">
        <v>736</v>
      </c>
      <c r="F9" s="111"/>
      <c r="G9" s="112" t="s">
        <v>441</v>
      </c>
      <c r="H9" s="110" t="s">
        <v>1131</v>
      </c>
      <c r="I9" s="110" t="s">
        <v>41</v>
      </c>
      <c r="J9" s="111"/>
      <c r="K9" s="112" t="s">
        <v>537</v>
      </c>
      <c r="L9" s="112" t="s">
        <v>489</v>
      </c>
      <c r="M9" s="110" t="s">
        <v>1132</v>
      </c>
      <c r="N9" s="110"/>
      <c r="O9" s="110"/>
      <c r="P9" s="110" t="s">
        <v>1133</v>
      </c>
      <c r="Q9" s="119"/>
      <c r="R9" s="115"/>
      <c r="S9" s="3"/>
      <c r="T9" s="3"/>
      <c r="U9" s="3"/>
      <c r="V9" s="3"/>
      <c r="W9" s="3"/>
      <c r="X9" s="3"/>
      <c r="Y9" s="3"/>
      <c r="Z9" s="3"/>
      <c r="AA9" s="3"/>
      <c r="AB9" s="3"/>
      <c r="AC9" s="3"/>
    </row>
    <row r="10">
      <c r="A10" s="109">
        <v>1107.0</v>
      </c>
      <c r="B10" s="110" t="s">
        <v>1134</v>
      </c>
      <c r="C10" s="110" t="s">
        <v>449</v>
      </c>
      <c r="D10" s="110" t="s">
        <v>735</v>
      </c>
      <c r="E10" s="110" t="s">
        <v>736</v>
      </c>
      <c r="F10" s="111"/>
      <c r="G10" s="112" t="s">
        <v>441</v>
      </c>
      <c r="H10" s="110" t="s">
        <v>1135</v>
      </c>
      <c r="I10" s="110" t="s">
        <v>41</v>
      </c>
      <c r="J10" s="111"/>
      <c r="K10" s="112" t="s">
        <v>542</v>
      </c>
      <c r="L10" s="110" t="s">
        <v>1136</v>
      </c>
      <c r="M10" s="110" t="s">
        <v>1137</v>
      </c>
      <c r="N10" s="110"/>
      <c r="O10" s="110"/>
      <c r="P10" s="110" t="s">
        <v>1138</v>
      </c>
      <c r="Q10" s="121"/>
      <c r="R10" s="117"/>
    </row>
    <row r="11">
      <c r="A11" s="109">
        <v>1109.0</v>
      </c>
      <c r="B11" s="110" t="s">
        <v>1139</v>
      </c>
      <c r="C11" s="110" t="s">
        <v>449</v>
      </c>
      <c r="D11" s="110" t="s">
        <v>735</v>
      </c>
      <c r="E11" s="110" t="s">
        <v>736</v>
      </c>
      <c r="F11" s="111"/>
      <c r="G11" s="110" t="s">
        <v>441</v>
      </c>
      <c r="H11" s="110" t="s">
        <v>1140</v>
      </c>
      <c r="I11" s="110" t="s">
        <v>41</v>
      </c>
      <c r="J11" s="111"/>
      <c r="K11" s="112" t="s">
        <v>1141</v>
      </c>
      <c r="L11" s="112" t="s">
        <v>1142</v>
      </c>
      <c r="M11" s="110" t="s">
        <v>1143</v>
      </c>
      <c r="N11" s="110"/>
      <c r="O11" s="110"/>
      <c r="P11" s="110" t="s">
        <v>1144</v>
      </c>
      <c r="Q11" s="119"/>
      <c r="R11" s="117"/>
    </row>
    <row r="12">
      <c r="A12" s="109">
        <v>1110.0</v>
      </c>
      <c r="B12" s="110" t="s">
        <v>776</v>
      </c>
      <c r="C12" s="110" t="s">
        <v>449</v>
      </c>
      <c r="D12" s="110" t="s">
        <v>735</v>
      </c>
      <c r="E12" s="110" t="s">
        <v>736</v>
      </c>
      <c r="F12" s="111"/>
      <c r="G12" s="110" t="s">
        <v>610</v>
      </c>
      <c r="H12" s="111"/>
      <c r="I12" s="110" t="s">
        <v>41</v>
      </c>
      <c r="J12" s="111"/>
      <c r="K12" s="112" t="s">
        <v>1145</v>
      </c>
      <c r="L12" s="112" t="s">
        <v>1146</v>
      </c>
      <c r="M12" s="110" t="s">
        <v>1147</v>
      </c>
      <c r="N12" s="110"/>
      <c r="O12" s="110"/>
      <c r="P12" s="110" t="s">
        <v>1148</v>
      </c>
      <c r="Q12" s="120"/>
      <c r="R12" s="117"/>
    </row>
    <row r="13">
      <c r="A13" s="109">
        <v>9495.0</v>
      </c>
      <c r="B13" s="110" t="s">
        <v>1149</v>
      </c>
      <c r="C13" s="110" t="s">
        <v>432</v>
      </c>
      <c r="D13" s="110" t="s">
        <v>735</v>
      </c>
      <c r="E13" s="110" t="s">
        <v>736</v>
      </c>
      <c r="F13" s="111"/>
      <c r="G13" s="110" t="s">
        <v>433</v>
      </c>
      <c r="H13" s="110" t="s">
        <v>1150</v>
      </c>
      <c r="I13" s="110" t="s">
        <v>234</v>
      </c>
      <c r="J13" s="110" t="s">
        <v>1151</v>
      </c>
      <c r="K13" s="112" t="s">
        <v>1152</v>
      </c>
      <c r="L13" s="110" t="s">
        <v>1153</v>
      </c>
      <c r="M13" s="110" t="s">
        <v>1154</v>
      </c>
      <c r="N13" s="110"/>
      <c r="O13" s="110"/>
      <c r="P13" s="110" t="s">
        <v>1155</v>
      </c>
      <c r="Q13" s="119"/>
      <c r="R13" s="115"/>
      <c r="S13" s="3"/>
      <c r="T13" s="3"/>
      <c r="U13" s="3"/>
      <c r="V13" s="3"/>
      <c r="W13" s="3"/>
      <c r="X13" s="3"/>
      <c r="Y13" s="3"/>
      <c r="Z13" s="3"/>
      <c r="AA13" s="3"/>
      <c r="AB13" s="3"/>
      <c r="AC13" s="3"/>
    </row>
    <row r="14">
      <c r="A14" s="109">
        <v>10493.0</v>
      </c>
      <c r="B14" s="110" t="s">
        <v>1156</v>
      </c>
      <c r="C14" s="110" t="s">
        <v>432</v>
      </c>
      <c r="D14" s="110" t="s">
        <v>735</v>
      </c>
      <c r="E14" s="110" t="s">
        <v>736</v>
      </c>
      <c r="F14" s="111"/>
      <c r="G14" s="110" t="s">
        <v>441</v>
      </c>
      <c r="H14" s="110" t="s">
        <v>1157</v>
      </c>
      <c r="I14" s="110" t="s">
        <v>234</v>
      </c>
      <c r="J14" s="111"/>
      <c r="K14" s="112" t="s">
        <v>1158</v>
      </c>
      <c r="L14" s="110" t="s">
        <v>1159</v>
      </c>
      <c r="M14" s="110" t="s">
        <v>1160</v>
      </c>
      <c r="N14" s="110"/>
      <c r="O14" s="110"/>
      <c r="P14" s="110" t="s">
        <v>1161</v>
      </c>
      <c r="Q14" s="120"/>
      <c r="R14" s="117"/>
    </row>
    <row r="15">
      <c r="A15" s="109">
        <v>9961.0</v>
      </c>
      <c r="B15" s="110" t="s">
        <v>1162</v>
      </c>
      <c r="C15" s="110" t="s">
        <v>449</v>
      </c>
      <c r="D15" s="110" t="s">
        <v>796</v>
      </c>
      <c r="E15" s="110" t="s">
        <v>797</v>
      </c>
      <c r="F15" s="111"/>
      <c r="G15" s="112" t="s">
        <v>664</v>
      </c>
      <c r="H15" s="110" t="s">
        <v>434</v>
      </c>
      <c r="I15" s="110" t="s">
        <v>1163</v>
      </c>
      <c r="J15" s="111"/>
      <c r="K15" s="113"/>
      <c r="L15" s="110" t="s">
        <v>511</v>
      </c>
      <c r="M15" s="110" t="s">
        <v>1164</v>
      </c>
      <c r="N15" s="110"/>
      <c r="O15" s="110"/>
      <c r="P15" s="110" t="s">
        <v>1165</v>
      </c>
      <c r="Q15" s="119"/>
      <c r="R15" s="117"/>
    </row>
    <row r="16">
      <c r="A16" s="109">
        <v>1816.0</v>
      </c>
      <c r="B16" s="110" t="s">
        <v>805</v>
      </c>
      <c r="C16" s="110" t="s">
        <v>432</v>
      </c>
      <c r="D16" s="110" t="s">
        <v>806</v>
      </c>
      <c r="E16" s="110" t="s">
        <v>807</v>
      </c>
      <c r="F16" s="111"/>
      <c r="G16" s="112" t="s">
        <v>450</v>
      </c>
      <c r="H16" s="110" t="s">
        <v>1166</v>
      </c>
      <c r="I16" s="110" t="s">
        <v>144</v>
      </c>
      <c r="J16" s="111"/>
      <c r="K16" s="112" t="s">
        <v>1167</v>
      </c>
      <c r="L16" s="110" t="s">
        <v>1168</v>
      </c>
      <c r="M16" s="110" t="s">
        <v>1169</v>
      </c>
      <c r="N16" s="110"/>
      <c r="O16" s="110"/>
      <c r="P16" s="110" t="s">
        <v>1170</v>
      </c>
      <c r="Q16" s="120"/>
      <c r="R16" s="117"/>
    </row>
    <row r="17">
      <c r="A17" s="109">
        <v>2062.0</v>
      </c>
      <c r="B17" s="110" t="s">
        <v>1171</v>
      </c>
      <c r="C17" s="110" t="s">
        <v>432</v>
      </c>
      <c r="D17" s="110" t="s">
        <v>815</v>
      </c>
      <c r="E17" s="110" t="s">
        <v>816</v>
      </c>
      <c r="F17" s="111"/>
      <c r="G17" s="112" t="s">
        <v>441</v>
      </c>
      <c r="H17" s="110" t="s">
        <v>469</v>
      </c>
      <c r="I17" s="110" t="s">
        <v>443</v>
      </c>
      <c r="J17" s="111"/>
      <c r="K17" s="112" t="s">
        <v>476</v>
      </c>
      <c r="L17" s="110" t="s">
        <v>476</v>
      </c>
      <c r="M17" s="110" t="s">
        <v>1172</v>
      </c>
      <c r="N17" s="110"/>
      <c r="O17" s="110"/>
      <c r="P17" s="110" t="s">
        <v>1173</v>
      </c>
      <c r="Q17" s="119"/>
      <c r="R17" s="117"/>
    </row>
    <row r="18">
      <c r="A18" s="109">
        <v>2063.0</v>
      </c>
      <c r="B18" s="110" t="s">
        <v>825</v>
      </c>
      <c r="C18" s="110" t="s">
        <v>432</v>
      </c>
      <c r="D18" s="110" t="s">
        <v>815</v>
      </c>
      <c r="E18" s="110" t="s">
        <v>816</v>
      </c>
      <c r="F18" s="111"/>
      <c r="G18" s="112" t="s">
        <v>441</v>
      </c>
      <c r="H18" s="110" t="s">
        <v>503</v>
      </c>
      <c r="I18" s="110" t="s">
        <v>443</v>
      </c>
      <c r="J18" s="111"/>
      <c r="K18" s="112" t="s">
        <v>1174</v>
      </c>
      <c r="L18" s="110" t="s">
        <v>459</v>
      </c>
      <c r="M18" s="110" t="s">
        <v>1175</v>
      </c>
      <c r="N18" s="110"/>
      <c r="O18" s="110"/>
      <c r="P18" s="110" t="s">
        <v>1176</v>
      </c>
      <c r="Q18" s="120"/>
      <c r="R18" s="117"/>
    </row>
    <row r="19">
      <c r="A19" s="109">
        <v>2064.0</v>
      </c>
      <c r="B19" s="110" t="s">
        <v>832</v>
      </c>
      <c r="C19" s="110" t="s">
        <v>432</v>
      </c>
      <c r="D19" s="110" t="s">
        <v>815</v>
      </c>
      <c r="E19" s="110" t="s">
        <v>816</v>
      </c>
      <c r="F19" s="111"/>
      <c r="G19" s="112" t="s">
        <v>441</v>
      </c>
      <c r="H19" s="110" t="s">
        <v>592</v>
      </c>
      <c r="I19" s="110" t="s">
        <v>443</v>
      </c>
      <c r="J19" s="111"/>
      <c r="K19" s="112" t="s">
        <v>476</v>
      </c>
      <c r="L19" s="110" t="s">
        <v>476</v>
      </c>
      <c r="M19" s="110" t="s">
        <v>1177</v>
      </c>
      <c r="N19" s="110"/>
      <c r="O19" s="110"/>
      <c r="P19" s="110" t="s">
        <v>1178</v>
      </c>
      <c r="Q19" s="119"/>
      <c r="R19" s="117"/>
    </row>
    <row r="20">
      <c r="A20" s="109">
        <v>2065.0</v>
      </c>
      <c r="B20" s="110" t="s">
        <v>844</v>
      </c>
      <c r="C20" s="110" t="s">
        <v>432</v>
      </c>
      <c r="D20" s="110" t="s">
        <v>815</v>
      </c>
      <c r="E20" s="110" t="s">
        <v>816</v>
      </c>
      <c r="F20" s="111"/>
      <c r="G20" s="112" t="s">
        <v>441</v>
      </c>
      <c r="H20" s="110" t="s">
        <v>469</v>
      </c>
      <c r="I20" s="110" t="s">
        <v>443</v>
      </c>
      <c r="J20" s="111"/>
      <c r="K20" s="112" t="s">
        <v>1179</v>
      </c>
      <c r="L20" s="110" t="s">
        <v>489</v>
      </c>
      <c r="M20" s="110" t="s">
        <v>1180</v>
      </c>
      <c r="N20" s="110"/>
      <c r="O20" s="110"/>
      <c r="P20" s="110" t="s">
        <v>1181</v>
      </c>
      <c r="Q20" s="120"/>
      <c r="R20" s="117"/>
    </row>
    <row r="21">
      <c r="A21" s="109">
        <v>9538.0</v>
      </c>
      <c r="B21" s="110" t="s">
        <v>1182</v>
      </c>
      <c r="C21" s="110" t="s">
        <v>432</v>
      </c>
      <c r="D21" s="110" t="s">
        <v>815</v>
      </c>
      <c r="E21" s="110" t="s">
        <v>816</v>
      </c>
      <c r="F21" s="111"/>
      <c r="G21" s="112" t="s">
        <v>441</v>
      </c>
      <c r="H21" s="110" t="s">
        <v>1183</v>
      </c>
      <c r="I21" s="110" t="s">
        <v>850</v>
      </c>
      <c r="J21" s="111"/>
      <c r="K21" s="112" t="s">
        <v>1184</v>
      </c>
      <c r="L21" s="110" t="s">
        <v>1185</v>
      </c>
      <c r="M21" s="110" t="s">
        <v>1186</v>
      </c>
      <c r="N21" s="110"/>
      <c r="O21" s="110"/>
      <c r="P21" s="110" t="s">
        <v>1187</v>
      </c>
      <c r="Q21" s="119"/>
      <c r="R21" s="117"/>
    </row>
    <row r="22">
      <c r="A22" s="109">
        <v>9540.0</v>
      </c>
      <c r="B22" s="110" t="s">
        <v>857</v>
      </c>
      <c r="C22" s="110" t="s">
        <v>432</v>
      </c>
      <c r="D22" s="110" t="s">
        <v>815</v>
      </c>
      <c r="E22" s="110" t="s">
        <v>816</v>
      </c>
      <c r="F22" s="111"/>
      <c r="G22" s="112" t="s">
        <v>441</v>
      </c>
      <c r="H22" s="110" t="s">
        <v>469</v>
      </c>
      <c r="I22" s="110" t="s">
        <v>443</v>
      </c>
      <c r="J22" s="111"/>
      <c r="K22" s="112" t="s">
        <v>1188</v>
      </c>
      <c r="L22" s="110" t="s">
        <v>1189</v>
      </c>
      <c r="M22" s="110" t="s">
        <v>1190</v>
      </c>
      <c r="N22" s="110"/>
      <c r="O22" s="110"/>
      <c r="P22" s="110" t="s">
        <v>1191</v>
      </c>
      <c r="Q22" s="120"/>
      <c r="R22" s="117"/>
    </row>
    <row r="23">
      <c r="A23" s="109">
        <v>9541.0</v>
      </c>
      <c r="B23" s="110" t="s">
        <v>863</v>
      </c>
      <c r="C23" s="110" t="s">
        <v>432</v>
      </c>
      <c r="D23" s="110" t="s">
        <v>815</v>
      </c>
      <c r="E23" s="110" t="s">
        <v>816</v>
      </c>
      <c r="F23" s="111"/>
      <c r="G23" s="112" t="s">
        <v>441</v>
      </c>
      <c r="H23" s="110" t="s">
        <v>469</v>
      </c>
      <c r="I23" s="110" t="s">
        <v>443</v>
      </c>
      <c r="J23" s="111"/>
      <c r="K23" s="112" t="s">
        <v>1192</v>
      </c>
      <c r="L23" s="110" t="s">
        <v>489</v>
      </c>
      <c r="M23" s="110" t="s">
        <v>1193</v>
      </c>
      <c r="N23" s="110"/>
      <c r="O23" s="110"/>
      <c r="P23" s="110" t="s">
        <v>1194</v>
      </c>
      <c r="Q23" s="119"/>
      <c r="R23" s="117"/>
    </row>
    <row r="24">
      <c r="A24" s="109">
        <v>9542.0</v>
      </c>
      <c r="B24" s="110" t="s">
        <v>869</v>
      </c>
      <c r="C24" s="110" t="s">
        <v>432</v>
      </c>
      <c r="D24" s="110" t="s">
        <v>815</v>
      </c>
      <c r="E24" s="110" t="s">
        <v>816</v>
      </c>
      <c r="F24" s="111"/>
      <c r="G24" s="112" t="s">
        <v>441</v>
      </c>
      <c r="H24" s="110" t="s">
        <v>474</v>
      </c>
      <c r="I24" s="110" t="s">
        <v>443</v>
      </c>
      <c r="J24" s="111"/>
      <c r="K24" s="112" t="s">
        <v>1195</v>
      </c>
      <c r="L24" s="110" t="s">
        <v>1196</v>
      </c>
      <c r="M24" s="110" t="s">
        <v>1197</v>
      </c>
      <c r="N24" s="110"/>
      <c r="O24" s="110"/>
      <c r="P24" s="110" t="s">
        <v>1198</v>
      </c>
      <c r="Q24" s="119"/>
      <c r="R24" s="117"/>
    </row>
    <row r="25">
      <c r="A25" s="109">
        <v>9543.0</v>
      </c>
      <c r="B25" s="110" t="s">
        <v>875</v>
      </c>
      <c r="C25" s="110" t="s">
        <v>432</v>
      </c>
      <c r="D25" s="110" t="s">
        <v>815</v>
      </c>
      <c r="E25" s="110" t="s">
        <v>816</v>
      </c>
      <c r="F25" s="111"/>
      <c r="G25" s="112" t="s">
        <v>441</v>
      </c>
      <c r="H25" s="110" t="s">
        <v>503</v>
      </c>
      <c r="I25" s="112" t="s">
        <v>443</v>
      </c>
      <c r="J25" s="111"/>
      <c r="K25" s="112" t="s">
        <v>489</v>
      </c>
      <c r="L25" s="110" t="s">
        <v>1189</v>
      </c>
      <c r="M25" s="110" t="s">
        <v>1199</v>
      </c>
      <c r="N25" s="110"/>
      <c r="O25" s="110"/>
      <c r="P25" s="110" t="s">
        <v>1200</v>
      </c>
      <c r="Q25" s="119"/>
      <c r="R25" s="117"/>
    </row>
    <row r="26">
      <c r="A26" s="109">
        <v>9544.0</v>
      </c>
      <c r="B26" s="110" t="s">
        <v>1201</v>
      </c>
      <c r="C26" s="110" t="s">
        <v>432</v>
      </c>
      <c r="D26" s="110" t="s">
        <v>815</v>
      </c>
      <c r="E26" s="110" t="s">
        <v>816</v>
      </c>
      <c r="F26" s="111"/>
      <c r="G26" s="112" t="s">
        <v>441</v>
      </c>
      <c r="H26" s="110" t="s">
        <v>469</v>
      </c>
      <c r="I26" s="112" t="s">
        <v>443</v>
      </c>
      <c r="J26" s="111"/>
      <c r="K26" s="112" t="s">
        <v>1202</v>
      </c>
      <c r="L26" s="110" t="s">
        <v>476</v>
      </c>
      <c r="M26" s="110" t="s">
        <v>1203</v>
      </c>
      <c r="N26" s="110"/>
      <c r="O26" s="110"/>
      <c r="P26" s="110" t="s">
        <v>1204</v>
      </c>
      <c r="Q26" s="120"/>
      <c r="R26" s="117"/>
    </row>
    <row r="27">
      <c r="A27" s="109">
        <v>9545.0</v>
      </c>
      <c r="B27" s="110" t="s">
        <v>1205</v>
      </c>
      <c r="C27" s="110" t="s">
        <v>432</v>
      </c>
      <c r="D27" s="110" t="s">
        <v>815</v>
      </c>
      <c r="E27" s="110" t="s">
        <v>816</v>
      </c>
      <c r="F27" s="111"/>
      <c r="G27" s="112" t="s">
        <v>441</v>
      </c>
      <c r="H27" s="110" t="s">
        <v>469</v>
      </c>
      <c r="I27" s="112" t="s">
        <v>443</v>
      </c>
      <c r="J27" s="111"/>
      <c r="K27" s="112" t="s">
        <v>1206</v>
      </c>
      <c r="L27" s="110" t="s">
        <v>476</v>
      </c>
      <c r="M27" s="110" t="s">
        <v>1207</v>
      </c>
      <c r="N27" s="110"/>
      <c r="O27" s="110"/>
      <c r="P27" s="110" t="s">
        <v>1208</v>
      </c>
      <c r="Q27" s="119"/>
      <c r="R27" s="117"/>
    </row>
    <row r="28">
      <c r="A28" s="109">
        <v>9769.0</v>
      </c>
      <c r="B28" s="110" t="s">
        <v>1209</v>
      </c>
      <c r="C28" s="110" t="s">
        <v>449</v>
      </c>
      <c r="D28" s="110" t="s">
        <v>815</v>
      </c>
      <c r="E28" s="110" t="s">
        <v>816</v>
      </c>
      <c r="F28" s="111"/>
      <c r="G28" s="112" t="s">
        <v>433</v>
      </c>
      <c r="H28" s="110" t="s">
        <v>434</v>
      </c>
      <c r="I28" s="110" t="s">
        <v>45</v>
      </c>
      <c r="J28" s="111"/>
      <c r="K28" s="110" t="s">
        <v>1210</v>
      </c>
      <c r="L28" s="110" t="s">
        <v>1211</v>
      </c>
      <c r="M28" s="110" t="s">
        <v>1212</v>
      </c>
      <c r="N28" s="110"/>
      <c r="O28" s="110"/>
      <c r="P28" s="110" t="s">
        <v>1213</v>
      </c>
      <c r="Q28" s="120"/>
      <c r="R28" s="115"/>
      <c r="S28" s="3"/>
      <c r="T28" s="3"/>
      <c r="U28" s="3"/>
      <c r="V28" s="3"/>
      <c r="W28" s="3"/>
      <c r="X28" s="3"/>
      <c r="Y28" s="3"/>
      <c r="Z28" s="3"/>
      <c r="AA28" s="3"/>
      <c r="AB28" s="3"/>
      <c r="AC28" s="3"/>
    </row>
    <row r="29">
      <c r="A29" s="109">
        <v>10517.0</v>
      </c>
      <c r="B29" s="110" t="s">
        <v>1214</v>
      </c>
      <c r="C29" s="110" t="s">
        <v>432</v>
      </c>
      <c r="D29" s="110" t="s">
        <v>815</v>
      </c>
      <c r="E29" s="110" t="s">
        <v>816</v>
      </c>
      <c r="F29" s="111"/>
      <c r="G29" s="112" t="s">
        <v>441</v>
      </c>
      <c r="H29" s="110" t="s">
        <v>1215</v>
      </c>
      <c r="I29" s="110" t="s">
        <v>234</v>
      </c>
      <c r="J29" s="111"/>
      <c r="K29" s="110" t="s">
        <v>1216</v>
      </c>
      <c r="L29" s="110" t="s">
        <v>1217</v>
      </c>
      <c r="M29" s="110" t="s">
        <v>1218</v>
      </c>
      <c r="N29" s="110"/>
      <c r="O29" s="110"/>
      <c r="P29" s="110" t="s">
        <v>1219</v>
      </c>
      <c r="Q29" s="119"/>
      <c r="R29" s="115"/>
      <c r="S29" s="3"/>
      <c r="T29" s="3"/>
      <c r="U29" s="3"/>
      <c r="V29" s="3"/>
      <c r="W29" s="3"/>
      <c r="X29" s="3"/>
      <c r="Y29" s="3"/>
      <c r="Z29" s="3"/>
      <c r="AA29" s="3"/>
      <c r="AB29" s="3"/>
      <c r="AC29" s="3"/>
    </row>
    <row r="30">
      <c r="A30" s="109">
        <v>8669.0</v>
      </c>
      <c r="B30" s="110" t="s">
        <v>1220</v>
      </c>
      <c r="C30" s="110" t="s">
        <v>432</v>
      </c>
      <c r="D30" s="110" t="s">
        <v>914</v>
      </c>
      <c r="E30" s="110" t="s">
        <v>915</v>
      </c>
      <c r="F30" s="111"/>
      <c r="G30" s="112" t="s">
        <v>450</v>
      </c>
      <c r="H30" s="110" t="s">
        <v>1221</v>
      </c>
      <c r="I30" s="110" t="s">
        <v>234</v>
      </c>
      <c r="J30" s="111"/>
      <c r="K30" s="112" t="s">
        <v>450</v>
      </c>
      <c r="L30" s="110" t="s">
        <v>511</v>
      </c>
      <c r="M30" s="110" t="s">
        <v>1222</v>
      </c>
      <c r="N30" s="110"/>
      <c r="O30" s="110"/>
      <c r="P30" s="110" t="s">
        <v>1223</v>
      </c>
      <c r="Q30" s="120"/>
      <c r="R30" s="115"/>
      <c r="S30" s="3"/>
      <c r="T30" s="3"/>
      <c r="U30" s="3"/>
      <c r="V30" s="3"/>
      <c r="W30" s="3"/>
      <c r="X30" s="3"/>
      <c r="Y30" s="3"/>
      <c r="Z30" s="3"/>
      <c r="AA30" s="3"/>
      <c r="AB30" s="3"/>
      <c r="AC30" s="3"/>
    </row>
    <row r="31">
      <c r="A31" s="109">
        <v>1307.0</v>
      </c>
      <c r="B31" s="110" t="s">
        <v>1224</v>
      </c>
      <c r="C31" s="110" t="s">
        <v>449</v>
      </c>
      <c r="D31" s="110" t="s">
        <v>922</v>
      </c>
      <c r="E31" s="110" t="s">
        <v>923</v>
      </c>
      <c r="F31" s="111"/>
      <c r="G31" s="112" t="s">
        <v>441</v>
      </c>
      <c r="H31" s="110" t="s">
        <v>434</v>
      </c>
      <c r="I31" s="110" t="s">
        <v>41</v>
      </c>
      <c r="J31" s="111"/>
      <c r="K31" s="112" t="s">
        <v>537</v>
      </c>
      <c r="L31" s="110" t="s">
        <v>489</v>
      </c>
      <c r="M31" s="110" t="s">
        <v>1225</v>
      </c>
      <c r="N31" s="110"/>
      <c r="O31" s="110"/>
      <c r="P31" s="110" t="s">
        <v>1226</v>
      </c>
      <c r="Q31" s="119"/>
      <c r="R31" s="117"/>
    </row>
    <row r="32">
      <c r="A32" s="109">
        <v>8585.0</v>
      </c>
      <c r="B32" s="110" t="s">
        <v>1227</v>
      </c>
      <c r="C32" s="110" t="s">
        <v>449</v>
      </c>
      <c r="D32" s="110" t="s">
        <v>922</v>
      </c>
      <c r="E32" s="110" t="s">
        <v>923</v>
      </c>
      <c r="F32" s="111"/>
      <c r="G32" s="112" t="s">
        <v>441</v>
      </c>
      <c r="H32" s="110" t="s">
        <v>474</v>
      </c>
      <c r="I32" s="110" t="s">
        <v>41</v>
      </c>
      <c r="J32" s="111"/>
      <c r="K32" s="112" t="s">
        <v>527</v>
      </c>
      <c r="L32" s="110" t="s">
        <v>489</v>
      </c>
      <c r="M32" s="110" t="s">
        <v>1228</v>
      </c>
      <c r="N32" s="110"/>
      <c r="O32" s="110"/>
      <c r="P32" s="110" t="s">
        <v>1229</v>
      </c>
      <c r="Q32" s="116"/>
      <c r="R32" s="115"/>
      <c r="S32" s="3"/>
      <c r="T32" s="3"/>
      <c r="U32" s="3"/>
      <c r="V32" s="3"/>
      <c r="W32" s="3"/>
      <c r="X32" s="3"/>
      <c r="Y32" s="3"/>
      <c r="Z32" s="3"/>
      <c r="AA32" s="3"/>
      <c r="AB32" s="3"/>
      <c r="AC32" s="3"/>
    </row>
    <row r="33">
      <c r="A33" s="109">
        <v>9066.0</v>
      </c>
      <c r="B33" s="110" t="s">
        <v>1230</v>
      </c>
      <c r="C33" s="110" t="s">
        <v>432</v>
      </c>
      <c r="D33" s="110" t="s">
        <v>922</v>
      </c>
      <c r="E33" s="110" t="s">
        <v>923</v>
      </c>
      <c r="F33" s="111"/>
      <c r="G33" s="112" t="s">
        <v>441</v>
      </c>
      <c r="H33" s="110" t="s">
        <v>1221</v>
      </c>
      <c r="I33" s="110" t="s">
        <v>18</v>
      </c>
      <c r="J33" s="111"/>
      <c r="K33" s="112" t="s">
        <v>1231</v>
      </c>
      <c r="L33" s="112" t="s">
        <v>1232</v>
      </c>
      <c r="M33" s="110" t="s">
        <v>1233</v>
      </c>
      <c r="N33" s="110"/>
      <c r="O33" s="110"/>
      <c r="P33" s="110" t="s">
        <v>1234</v>
      </c>
      <c r="Q33" s="120"/>
      <c r="R33" s="115"/>
      <c r="S33" s="17"/>
      <c r="T33" s="17"/>
      <c r="U33" s="17"/>
      <c r="V33" s="17"/>
      <c r="W33" s="17"/>
      <c r="X33" s="17"/>
      <c r="Y33" s="17"/>
      <c r="Z33" s="17"/>
      <c r="AA33" s="17"/>
      <c r="AB33" s="17"/>
      <c r="AC33" s="17"/>
    </row>
    <row r="34">
      <c r="A34" s="109">
        <v>1313.0</v>
      </c>
      <c r="B34" s="110" t="s">
        <v>1235</v>
      </c>
      <c r="C34" s="110" t="s">
        <v>432</v>
      </c>
      <c r="D34" s="110" t="s">
        <v>946</v>
      </c>
      <c r="E34" s="110" t="s">
        <v>947</v>
      </c>
      <c r="F34" s="110" t="s">
        <v>450</v>
      </c>
      <c r="G34" s="112" t="s">
        <v>610</v>
      </c>
      <c r="H34" s="110" t="s">
        <v>1236</v>
      </c>
      <c r="I34" s="110" t="s">
        <v>144</v>
      </c>
      <c r="J34" s="110" t="s">
        <v>1237</v>
      </c>
      <c r="K34" s="112" t="s">
        <v>450</v>
      </c>
      <c r="L34" s="112" t="s">
        <v>612</v>
      </c>
      <c r="M34" s="110" t="s">
        <v>1238</v>
      </c>
      <c r="N34" s="110"/>
      <c r="O34" s="110"/>
      <c r="P34" s="110" t="s">
        <v>1239</v>
      </c>
      <c r="Q34" s="119"/>
      <c r="R34" s="115"/>
      <c r="S34" s="17"/>
      <c r="T34" s="17"/>
      <c r="U34" s="17"/>
      <c r="V34" s="17"/>
      <c r="W34" s="17"/>
      <c r="X34" s="17"/>
      <c r="Y34" s="17"/>
      <c r="Z34" s="17"/>
      <c r="AA34" s="17"/>
      <c r="AB34" s="17"/>
      <c r="AC34" s="17"/>
    </row>
    <row r="35">
      <c r="A35" s="109">
        <v>1315.0</v>
      </c>
      <c r="B35" s="110" t="s">
        <v>1240</v>
      </c>
      <c r="C35" s="110" t="s">
        <v>449</v>
      </c>
      <c r="D35" s="110" t="s">
        <v>946</v>
      </c>
      <c r="E35" s="110" t="s">
        <v>947</v>
      </c>
      <c r="F35" s="111"/>
      <c r="G35" s="112" t="s">
        <v>441</v>
      </c>
      <c r="H35" s="110" t="s">
        <v>634</v>
      </c>
      <c r="I35" s="110" t="s">
        <v>41</v>
      </c>
      <c r="J35" s="111"/>
      <c r="K35" s="112" t="s">
        <v>1241</v>
      </c>
      <c r="L35" s="110" t="s">
        <v>459</v>
      </c>
      <c r="M35" s="110" t="s">
        <v>1242</v>
      </c>
      <c r="N35" s="110"/>
      <c r="O35" s="110"/>
      <c r="P35" s="110" t="s">
        <v>1243</v>
      </c>
      <c r="Q35" s="120"/>
      <c r="R35" s="117"/>
    </row>
    <row r="36">
      <c r="A36" s="109">
        <v>10087.0</v>
      </c>
      <c r="B36" s="110" t="s">
        <v>1244</v>
      </c>
      <c r="C36" s="110" t="s">
        <v>432</v>
      </c>
      <c r="D36" s="110" t="s">
        <v>946</v>
      </c>
      <c r="E36" s="110" t="s">
        <v>947</v>
      </c>
      <c r="F36" s="110" t="s">
        <v>433</v>
      </c>
      <c r="G36" s="112" t="s">
        <v>433</v>
      </c>
      <c r="H36" s="110" t="s">
        <v>1135</v>
      </c>
      <c r="I36" s="110" t="s">
        <v>234</v>
      </c>
      <c r="J36" s="111"/>
      <c r="K36" s="112" t="s">
        <v>1245</v>
      </c>
      <c r="L36" s="110" t="s">
        <v>1246</v>
      </c>
      <c r="M36" s="110" t="s">
        <v>1247</v>
      </c>
      <c r="N36" s="110"/>
      <c r="O36" s="110"/>
      <c r="P36" s="110" t="s">
        <v>1248</v>
      </c>
      <c r="Q36" s="119"/>
      <c r="R36" s="117"/>
    </row>
    <row r="37">
      <c r="A37" s="109">
        <v>10099.0</v>
      </c>
      <c r="B37" s="110" t="s">
        <v>1249</v>
      </c>
      <c r="C37" s="110" t="s">
        <v>432</v>
      </c>
      <c r="D37" s="110" t="s">
        <v>946</v>
      </c>
      <c r="E37" s="110" t="s">
        <v>947</v>
      </c>
      <c r="F37" s="111"/>
      <c r="G37" s="112" t="s">
        <v>441</v>
      </c>
      <c r="H37" s="110" t="s">
        <v>1157</v>
      </c>
      <c r="I37" s="110" t="s">
        <v>234</v>
      </c>
      <c r="J37" s="111"/>
      <c r="K37" s="112" t="s">
        <v>1250</v>
      </c>
      <c r="L37" s="110" t="s">
        <v>1251</v>
      </c>
      <c r="M37" s="110" t="s">
        <v>1252</v>
      </c>
      <c r="N37" s="110"/>
      <c r="O37" s="110"/>
      <c r="P37" s="110" t="s">
        <v>1253</v>
      </c>
      <c r="Q37" s="120"/>
      <c r="R37" s="115"/>
      <c r="S37" s="3"/>
      <c r="T37" s="3"/>
      <c r="U37" s="3"/>
      <c r="V37" s="3"/>
      <c r="W37" s="3"/>
      <c r="X37" s="3"/>
      <c r="Y37" s="3"/>
      <c r="Z37" s="3"/>
      <c r="AA37" s="3"/>
      <c r="AB37" s="3"/>
      <c r="AC37" s="3"/>
    </row>
    <row r="38">
      <c r="A38" s="109">
        <v>10116.0</v>
      </c>
      <c r="B38" s="110" t="s">
        <v>1254</v>
      </c>
      <c r="C38" s="110" t="s">
        <v>432</v>
      </c>
      <c r="D38" s="110" t="s">
        <v>946</v>
      </c>
      <c r="E38" s="110" t="s">
        <v>947</v>
      </c>
      <c r="F38" s="111"/>
      <c r="G38" s="112" t="s">
        <v>441</v>
      </c>
      <c r="H38" s="110" t="s">
        <v>1255</v>
      </c>
      <c r="I38" s="110" t="s">
        <v>272</v>
      </c>
      <c r="J38" s="111"/>
      <c r="K38" s="113"/>
      <c r="L38" s="110" t="s">
        <v>1159</v>
      </c>
      <c r="M38" s="110" t="s">
        <v>1256</v>
      </c>
      <c r="N38" s="110"/>
      <c r="O38" s="110"/>
      <c r="P38" s="110" t="s">
        <v>1257</v>
      </c>
      <c r="Q38" s="119"/>
      <c r="R38" s="115"/>
      <c r="S38" s="3"/>
      <c r="T38" s="3"/>
      <c r="U38" s="3"/>
      <c r="V38" s="3"/>
      <c r="W38" s="3"/>
      <c r="X38" s="3"/>
      <c r="Y38" s="3"/>
      <c r="Z38" s="3"/>
      <c r="AA38" s="3"/>
      <c r="AB38" s="3"/>
      <c r="AC38" s="3"/>
    </row>
    <row r="39">
      <c r="A39" s="109">
        <v>10332.0</v>
      </c>
      <c r="B39" s="110" t="s">
        <v>1258</v>
      </c>
      <c r="C39" s="110" t="s">
        <v>432</v>
      </c>
      <c r="D39" s="110" t="s">
        <v>946</v>
      </c>
      <c r="E39" s="110" t="s">
        <v>947</v>
      </c>
      <c r="F39" s="110" t="s">
        <v>441</v>
      </c>
      <c r="G39" s="112" t="s">
        <v>441</v>
      </c>
      <c r="H39" s="110" t="s">
        <v>1259</v>
      </c>
      <c r="I39" s="110" t="s">
        <v>368</v>
      </c>
      <c r="J39" s="111"/>
      <c r="K39" s="112" t="s">
        <v>1260</v>
      </c>
      <c r="L39" s="110" t="s">
        <v>1261</v>
      </c>
      <c r="M39" s="110" t="s">
        <v>1262</v>
      </c>
      <c r="N39" s="110"/>
      <c r="O39" s="110"/>
      <c r="P39" s="110" t="s">
        <v>1263</v>
      </c>
      <c r="Q39" s="120"/>
      <c r="R39" s="115"/>
      <c r="S39" s="3"/>
      <c r="T39" s="3"/>
      <c r="U39" s="3"/>
      <c r="V39" s="3"/>
      <c r="W39" s="3"/>
      <c r="X39" s="3"/>
      <c r="Y39" s="3"/>
      <c r="Z39" s="3"/>
      <c r="AA39" s="3"/>
      <c r="AB39" s="3"/>
      <c r="AC39" s="3"/>
    </row>
    <row r="40">
      <c r="A40" s="109">
        <v>10385.0</v>
      </c>
      <c r="B40" s="110" t="s">
        <v>1264</v>
      </c>
      <c r="C40" s="110" t="s">
        <v>449</v>
      </c>
      <c r="D40" s="110" t="s">
        <v>946</v>
      </c>
      <c r="E40" s="110" t="s">
        <v>947</v>
      </c>
      <c r="F40" s="111"/>
      <c r="G40" s="112" t="s">
        <v>441</v>
      </c>
      <c r="H40" s="110" t="s">
        <v>1265</v>
      </c>
      <c r="I40" s="110" t="s">
        <v>45</v>
      </c>
      <c r="J40" s="111"/>
      <c r="K40" s="112" t="s">
        <v>1266</v>
      </c>
      <c r="L40" s="110" t="s">
        <v>489</v>
      </c>
      <c r="M40" s="110" t="s">
        <v>1267</v>
      </c>
      <c r="N40" s="110"/>
      <c r="O40" s="110"/>
      <c r="P40" s="110" t="s">
        <v>1268</v>
      </c>
      <c r="Q40" s="119"/>
      <c r="R40" s="115"/>
      <c r="S40" s="3"/>
      <c r="T40" s="3"/>
      <c r="U40" s="3"/>
      <c r="V40" s="3"/>
      <c r="W40" s="3"/>
      <c r="X40" s="3"/>
      <c r="Y40" s="3"/>
      <c r="Z40" s="3"/>
      <c r="AA40" s="3"/>
      <c r="AB40" s="3"/>
      <c r="AC40" s="3"/>
    </row>
    <row r="41">
      <c r="A41" s="109">
        <v>10409.0</v>
      </c>
      <c r="B41" s="110" t="s">
        <v>1269</v>
      </c>
      <c r="C41" s="110" t="s">
        <v>432</v>
      </c>
      <c r="D41" s="110" t="s">
        <v>946</v>
      </c>
      <c r="E41" s="110" t="s">
        <v>947</v>
      </c>
      <c r="F41" s="111"/>
      <c r="G41" s="112" t="s">
        <v>441</v>
      </c>
      <c r="H41" s="110" t="s">
        <v>434</v>
      </c>
      <c r="I41" s="110" t="s">
        <v>234</v>
      </c>
      <c r="J41" s="111"/>
      <c r="K41" s="112" t="s">
        <v>1270</v>
      </c>
      <c r="L41" s="110" t="s">
        <v>511</v>
      </c>
      <c r="M41" s="110" t="s">
        <v>1271</v>
      </c>
      <c r="N41" s="110"/>
      <c r="O41" s="110"/>
      <c r="P41" s="110" t="s">
        <v>1272</v>
      </c>
      <c r="Q41" s="120"/>
      <c r="R41" s="115"/>
      <c r="S41" s="3"/>
      <c r="T41" s="3"/>
      <c r="U41" s="3"/>
      <c r="V41" s="3"/>
      <c r="W41" s="3"/>
      <c r="X41" s="3"/>
      <c r="Y41" s="3"/>
      <c r="Z41" s="3"/>
      <c r="AA41" s="3"/>
      <c r="AB41" s="3"/>
      <c r="AC41" s="3"/>
    </row>
    <row r="42">
      <c r="A42" s="109">
        <v>10456.0</v>
      </c>
      <c r="B42" s="110" t="s">
        <v>1273</v>
      </c>
      <c r="C42" s="110" t="s">
        <v>432</v>
      </c>
      <c r="D42" s="110" t="s">
        <v>946</v>
      </c>
      <c r="E42" s="110" t="s">
        <v>947</v>
      </c>
      <c r="F42" s="111"/>
      <c r="G42" s="112" t="s">
        <v>441</v>
      </c>
      <c r="H42" s="110" t="s">
        <v>1274</v>
      </c>
      <c r="I42" s="110" t="s">
        <v>234</v>
      </c>
      <c r="J42" s="111"/>
      <c r="K42" s="112" t="s">
        <v>1275</v>
      </c>
      <c r="L42" s="110" t="s">
        <v>511</v>
      </c>
      <c r="M42" s="110" t="s">
        <v>1276</v>
      </c>
      <c r="N42" s="110"/>
      <c r="O42" s="110"/>
      <c r="P42" s="110" t="s">
        <v>1277</v>
      </c>
      <c r="Q42" s="119"/>
      <c r="R42" s="115"/>
      <c r="S42" s="3"/>
      <c r="T42" s="3"/>
      <c r="U42" s="3"/>
      <c r="V42" s="3"/>
      <c r="W42" s="3"/>
      <c r="X42" s="3"/>
      <c r="Y42" s="3"/>
      <c r="Z42" s="3"/>
      <c r="AA42" s="3"/>
      <c r="AB42" s="3"/>
      <c r="AC42" s="3"/>
    </row>
    <row r="43">
      <c r="A43" s="109">
        <v>10485.0</v>
      </c>
      <c r="B43" s="110" t="s">
        <v>1028</v>
      </c>
      <c r="C43" s="110" t="s">
        <v>432</v>
      </c>
      <c r="D43" s="110" t="s">
        <v>946</v>
      </c>
      <c r="E43" s="110" t="s">
        <v>947</v>
      </c>
      <c r="F43" s="111"/>
      <c r="G43" s="112" t="s">
        <v>441</v>
      </c>
      <c r="H43" s="110" t="s">
        <v>1278</v>
      </c>
      <c r="I43" s="110" t="s">
        <v>234</v>
      </c>
      <c r="J43" s="111"/>
      <c r="K43" s="112" t="s">
        <v>1279</v>
      </c>
      <c r="L43" s="110" t="s">
        <v>489</v>
      </c>
      <c r="M43" s="110" t="s">
        <v>1280</v>
      </c>
      <c r="N43" s="110"/>
      <c r="O43" s="110"/>
      <c r="P43" s="110" t="s">
        <v>1281</v>
      </c>
      <c r="Q43" s="119"/>
      <c r="R43" s="115"/>
      <c r="S43" s="3"/>
      <c r="T43" s="3"/>
      <c r="U43" s="3"/>
      <c r="V43" s="3"/>
      <c r="W43" s="3"/>
      <c r="X43" s="3"/>
      <c r="Y43" s="3"/>
      <c r="Z43" s="3"/>
      <c r="AA43" s="3"/>
      <c r="AB43" s="3"/>
      <c r="AC43" s="3"/>
    </row>
    <row r="44">
      <c r="A44" s="109">
        <v>10486.0</v>
      </c>
      <c r="B44" s="110" t="s">
        <v>1282</v>
      </c>
      <c r="C44" s="110" t="s">
        <v>432</v>
      </c>
      <c r="D44" s="110" t="s">
        <v>946</v>
      </c>
      <c r="E44" s="110" t="s">
        <v>947</v>
      </c>
      <c r="F44" s="111"/>
      <c r="G44" s="112" t="s">
        <v>670</v>
      </c>
      <c r="H44" s="110" t="s">
        <v>1283</v>
      </c>
      <c r="I44" s="110" t="s">
        <v>234</v>
      </c>
      <c r="J44" s="111"/>
      <c r="K44" s="112" t="s">
        <v>1284</v>
      </c>
      <c r="L44" s="110" t="s">
        <v>489</v>
      </c>
      <c r="M44" s="110" t="s">
        <v>1285</v>
      </c>
      <c r="N44" s="110"/>
      <c r="O44" s="110"/>
      <c r="P44" s="110" t="s">
        <v>1286</v>
      </c>
      <c r="Q44" s="120"/>
      <c r="R44" s="115"/>
      <c r="S44" s="3"/>
      <c r="T44" s="3"/>
      <c r="U44" s="3"/>
      <c r="V44" s="3"/>
      <c r="W44" s="3"/>
      <c r="X44" s="3"/>
      <c r="Y44" s="3"/>
      <c r="Z44" s="3"/>
      <c r="AA44" s="3"/>
      <c r="AB44" s="3"/>
      <c r="AC44" s="3"/>
    </row>
    <row r="45">
      <c r="A45" s="109">
        <v>1118.0</v>
      </c>
      <c r="B45" s="110" t="s">
        <v>1287</v>
      </c>
      <c r="C45" s="110" t="s">
        <v>432</v>
      </c>
      <c r="D45" s="110" t="s">
        <v>1037</v>
      </c>
      <c r="E45" s="110" t="s">
        <v>1038</v>
      </c>
      <c r="F45" s="111"/>
      <c r="G45" s="112" t="s">
        <v>433</v>
      </c>
      <c r="H45" s="110" t="s">
        <v>1288</v>
      </c>
      <c r="I45" s="110" t="s">
        <v>144</v>
      </c>
      <c r="J45" s="111"/>
      <c r="K45" s="112" t="s">
        <v>537</v>
      </c>
      <c r="L45" s="110" t="s">
        <v>1289</v>
      </c>
      <c r="M45" s="110" t="s">
        <v>1290</v>
      </c>
      <c r="N45" s="110"/>
      <c r="O45" s="110"/>
      <c r="P45" s="110" t="s">
        <v>1291</v>
      </c>
      <c r="Q45" s="119"/>
      <c r="R45" s="115"/>
      <c r="S45" s="3"/>
      <c r="T45" s="3"/>
      <c r="U45" s="3"/>
      <c r="V45" s="3"/>
      <c r="W45" s="3"/>
      <c r="X45" s="3"/>
      <c r="Y45" s="3"/>
      <c r="Z45" s="3"/>
      <c r="AA45" s="3"/>
      <c r="AB45" s="3"/>
      <c r="AC45" s="3"/>
    </row>
    <row r="46">
      <c r="A46" s="109">
        <v>8599.0</v>
      </c>
      <c r="B46" s="110" t="s">
        <v>1292</v>
      </c>
      <c r="C46" s="110" t="s">
        <v>432</v>
      </c>
      <c r="D46" s="110" t="s">
        <v>1037</v>
      </c>
      <c r="E46" s="110" t="s">
        <v>1038</v>
      </c>
      <c r="F46" s="111"/>
      <c r="G46" s="112" t="s">
        <v>441</v>
      </c>
      <c r="H46" s="110" t="s">
        <v>474</v>
      </c>
      <c r="I46" s="110" t="s">
        <v>435</v>
      </c>
      <c r="J46" s="111"/>
      <c r="K46" s="112" t="s">
        <v>1293</v>
      </c>
      <c r="L46" s="110" t="s">
        <v>476</v>
      </c>
      <c r="M46" s="110" t="s">
        <v>1294</v>
      </c>
      <c r="N46" s="110"/>
      <c r="O46" s="110"/>
      <c r="P46" s="110" t="s">
        <v>1295</v>
      </c>
      <c r="Q46" s="120"/>
      <c r="R46" s="117"/>
    </row>
    <row r="47">
      <c r="A47" s="109">
        <v>9090.0</v>
      </c>
      <c r="B47" s="110" t="s">
        <v>1296</v>
      </c>
      <c r="C47" s="110" t="s">
        <v>432</v>
      </c>
      <c r="D47" s="110" t="s">
        <v>1037</v>
      </c>
      <c r="E47" s="110" t="s">
        <v>1038</v>
      </c>
      <c r="F47" s="110" t="s">
        <v>1297</v>
      </c>
      <c r="G47" s="112" t="s">
        <v>610</v>
      </c>
      <c r="H47" s="110" t="s">
        <v>1298</v>
      </c>
      <c r="I47" s="110" t="s">
        <v>18</v>
      </c>
      <c r="J47" s="111"/>
      <c r="K47" s="112" t="s">
        <v>610</v>
      </c>
      <c r="L47" s="111"/>
      <c r="M47" s="110" t="s">
        <v>1299</v>
      </c>
      <c r="N47" s="110"/>
      <c r="O47" s="110"/>
      <c r="P47" s="110" t="s">
        <v>1300</v>
      </c>
      <c r="Q47" s="119"/>
      <c r="R47" s="115"/>
      <c r="S47" s="3"/>
      <c r="T47" s="3"/>
      <c r="U47" s="3"/>
      <c r="V47" s="3"/>
      <c r="W47" s="3"/>
      <c r="X47" s="3"/>
      <c r="Y47" s="3"/>
      <c r="Z47" s="3"/>
      <c r="AA47" s="3"/>
      <c r="AB47" s="3"/>
      <c r="AC47" s="3"/>
    </row>
    <row r="48">
      <c r="A48" s="109">
        <v>9977.0</v>
      </c>
      <c r="B48" s="110" t="s">
        <v>1301</v>
      </c>
      <c r="C48" s="110" t="s">
        <v>432</v>
      </c>
      <c r="D48" s="110" t="s">
        <v>1037</v>
      </c>
      <c r="E48" s="110" t="s">
        <v>1038</v>
      </c>
      <c r="F48" s="111"/>
      <c r="G48" s="112" t="s">
        <v>433</v>
      </c>
      <c r="H48" s="110" t="s">
        <v>434</v>
      </c>
      <c r="I48" s="110" t="s">
        <v>144</v>
      </c>
      <c r="J48" s="111"/>
      <c r="K48" s="113"/>
      <c r="L48" s="110" t="s">
        <v>511</v>
      </c>
      <c r="M48" s="110" t="s">
        <v>1302</v>
      </c>
      <c r="N48" s="110"/>
      <c r="O48" s="110"/>
      <c r="P48" s="110" t="s">
        <v>1303</v>
      </c>
      <c r="Q48" s="120"/>
      <c r="R48" s="115"/>
      <c r="S48" s="3"/>
      <c r="T48" s="3"/>
      <c r="U48" s="3"/>
      <c r="V48" s="3"/>
      <c r="W48" s="3"/>
      <c r="X48" s="3"/>
      <c r="Y48" s="3"/>
      <c r="Z48" s="3"/>
      <c r="AA48" s="3"/>
      <c r="AB48" s="3"/>
      <c r="AC48" s="3"/>
    </row>
    <row r="49">
      <c r="A49" s="109">
        <v>10109.0</v>
      </c>
      <c r="B49" s="110" t="s">
        <v>1304</v>
      </c>
      <c r="C49" s="110" t="s">
        <v>432</v>
      </c>
      <c r="D49" s="110" t="s">
        <v>1037</v>
      </c>
      <c r="E49" s="110" t="s">
        <v>1038</v>
      </c>
      <c r="F49" s="111"/>
      <c r="G49" s="112" t="s">
        <v>441</v>
      </c>
      <c r="H49" s="110" t="s">
        <v>434</v>
      </c>
      <c r="I49" s="110" t="s">
        <v>137</v>
      </c>
      <c r="J49" s="111"/>
      <c r="K49" s="112" t="s">
        <v>1305</v>
      </c>
      <c r="L49" s="110" t="s">
        <v>489</v>
      </c>
      <c r="M49" s="110" t="s">
        <v>1306</v>
      </c>
      <c r="N49" s="110"/>
      <c r="O49" s="110"/>
      <c r="P49" s="110" t="s">
        <v>1307</v>
      </c>
      <c r="Q49" s="119"/>
      <c r="R49" s="115"/>
      <c r="S49" s="3"/>
      <c r="T49" s="3"/>
      <c r="U49" s="3"/>
      <c r="V49" s="3"/>
      <c r="W49" s="3"/>
      <c r="X49" s="3"/>
      <c r="Y49" s="3"/>
      <c r="Z49" s="3"/>
      <c r="AA49" s="3"/>
      <c r="AB49" s="3"/>
      <c r="AC49" s="3"/>
    </row>
    <row r="50">
      <c r="A50" s="109">
        <v>10132.0</v>
      </c>
      <c r="B50" s="110" t="s">
        <v>1308</v>
      </c>
      <c r="C50" s="110" t="s">
        <v>432</v>
      </c>
      <c r="D50" s="110" t="s">
        <v>1037</v>
      </c>
      <c r="E50" s="110" t="s">
        <v>1038</v>
      </c>
      <c r="F50" s="111"/>
      <c r="G50" s="112" t="s">
        <v>670</v>
      </c>
      <c r="H50" s="110" t="s">
        <v>1309</v>
      </c>
      <c r="I50" s="110" t="s">
        <v>45</v>
      </c>
      <c r="J50" s="111"/>
      <c r="K50" s="112" t="s">
        <v>1310</v>
      </c>
      <c r="L50" s="110" t="s">
        <v>1311</v>
      </c>
      <c r="M50" s="110" t="s">
        <v>1312</v>
      </c>
      <c r="N50" s="110"/>
      <c r="O50" s="110"/>
      <c r="P50" s="110" t="s">
        <v>1313</v>
      </c>
      <c r="Q50" s="120"/>
      <c r="R50" s="115"/>
      <c r="S50" s="3"/>
      <c r="T50" s="3"/>
      <c r="U50" s="3"/>
      <c r="V50" s="3"/>
      <c r="W50" s="3"/>
      <c r="X50" s="3"/>
      <c r="Y50" s="3"/>
      <c r="Z50" s="3"/>
      <c r="AA50" s="3"/>
      <c r="AB50" s="3"/>
      <c r="AC50" s="3"/>
    </row>
    <row r="51">
      <c r="A51" s="109">
        <v>8636.0</v>
      </c>
      <c r="B51" s="110" t="s">
        <v>1314</v>
      </c>
      <c r="C51" s="110" t="s">
        <v>432</v>
      </c>
      <c r="D51" s="110" t="s">
        <v>1085</v>
      </c>
      <c r="E51" s="110" t="s">
        <v>1086</v>
      </c>
      <c r="F51" s="110" t="s">
        <v>691</v>
      </c>
      <c r="G51" s="112" t="s">
        <v>610</v>
      </c>
      <c r="H51" s="110" t="s">
        <v>692</v>
      </c>
      <c r="I51" s="110" t="s">
        <v>407</v>
      </c>
      <c r="J51" s="111"/>
      <c r="K51" s="112" t="s">
        <v>1315</v>
      </c>
      <c r="L51" s="110" t="s">
        <v>465</v>
      </c>
      <c r="M51" s="110" t="s">
        <v>1316</v>
      </c>
      <c r="N51" s="110"/>
      <c r="O51" s="110"/>
      <c r="P51" s="110" t="s">
        <v>1317</v>
      </c>
      <c r="Q51" s="119"/>
      <c r="R51" s="115"/>
      <c r="S51" s="3"/>
      <c r="T51" s="3"/>
      <c r="U51" s="3"/>
      <c r="V51" s="3"/>
      <c r="W51" s="3"/>
      <c r="X51" s="3"/>
      <c r="Y51" s="3"/>
      <c r="Z51" s="3"/>
      <c r="AA51" s="3"/>
      <c r="AB51" s="3"/>
      <c r="AC51" s="3"/>
    </row>
    <row r="52">
      <c r="A52" s="109">
        <v>1128.0</v>
      </c>
      <c r="B52" s="110" t="s">
        <v>1318</v>
      </c>
      <c r="C52" s="110" t="s">
        <v>432</v>
      </c>
      <c r="D52" s="110" t="s">
        <v>1093</v>
      </c>
      <c r="E52" s="110" t="s">
        <v>1094</v>
      </c>
      <c r="F52" s="111"/>
      <c r="G52" s="112" t="s">
        <v>441</v>
      </c>
      <c r="H52" s="110" t="s">
        <v>434</v>
      </c>
      <c r="I52" s="110" t="s">
        <v>435</v>
      </c>
      <c r="J52" s="111"/>
      <c r="K52" s="112" t="s">
        <v>1319</v>
      </c>
      <c r="L52" s="110" t="s">
        <v>621</v>
      </c>
      <c r="M52" s="110" t="s">
        <v>1320</v>
      </c>
      <c r="N52" s="110"/>
      <c r="O52" s="110"/>
      <c r="P52" s="110" t="s">
        <v>1321</v>
      </c>
      <c r="Q52" s="120"/>
      <c r="R52" s="115"/>
      <c r="S52" s="3"/>
      <c r="T52" s="3"/>
      <c r="U52" s="3"/>
      <c r="V52" s="3"/>
      <c r="W52" s="3"/>
      <c r="X52" s="3"/>
      <c r="Y52" s="3"/>
      <c r="Z52" s="3"/>
      <c r="AA52" s="3"/>
      <c r="AB52" s="3"/>
      <c r="AC52" s="3"/>
    </row>
    <row r="53">
      <c r="A53" s="122"/>
      <c r="B53" s="120"/>
      <c r="C53" s="120"/>
      <c r="D53" s="120"/>
      <c r="E53" s="120"/>
      <c r="F53" s="120"/>
      <c r="G53" s="123"/>
      <c r="H53" s="120"/>
      <c r="I53" s="120"/>
      <c r="J53" s="120"/>
      <c r="K53" s="123"/>
      <c r="L53" s="120"/>
      <c r="M53" s="120"/>
      <c r="N53" s="120"/>
      <c r="O53" s="120"/>
      <c r="P53" s="120"/>
      <c r="Q53" s="119"/>
      <c r="R53" s="115"/>
      <c r="S53" s="3"/>
      <c r="T53" s="3"/>
      <c r="U53" s="3"/>
      <c r="V53" s="3"/>
      <c r="W53" s="3"/>
      <c r="X53" s="3"/>
      <c r="Y53" s="3"/>
      <c r="Z53" s="3"/>
      <c r="AA53" s="3"/>
      <c r="AB53" s="3"/>
      <c r="AC53" s="3"/>
    </row>
    <row r="54">
      <c r="A54" s="122"/>
      <c r="B54" s="120"/>
      <c r="C54" s="120"/>
      <c r="D54" s="120"/>
      <c r="E54" s="120"/>
      <c r="F54" s="120"/>
      <c r="G54" s="123"/>
      <c r="H54" s="120"/>
      <c r="I54" s="120"/>
      <c r="J54" s="120"/>
      <c r="K54" s="123"/>
      <c r="L54" s="120"/>
      <c r="M54" s="120"/>
      <c r="N54" s="120"/>
      <c r="O54" s="120"/>
      <c r="P54" s="120"/>
      <c r="Q54" s="120"/>
      <c r="R54" s="115"/>
      <c r="S54" s="3"/>
      <c r="T54" s="3"/>
      <c r="U54" s="3"/>
      <c r="V54" s="3"/>
      <c r="W54" s="3"/>
      <c r="X54" s="3"/>
      <c r="Y54" s="3"/>
      <c r="Z54" s="3"/>
      <c r="AA54" s="3"/>
      <c r="AB54" s="3"/>
      <c r="AC54" s="3"/>
    </row>
    <row r="55">
      <c r="A55" s="122"/>
      <c r="B55" s="120"/>
      <c r="C55" s="120"/>
      <c r="D55" s="120"/>
      <c r="E55" s="120"/>
      <c r="F55" s="120"/>
      <c r="G55" s="123"/>
      <c r="H55" s="120"/>
      <c r="I55" s="120"/>
      <c r="J55" s="120"/>
      <c r="K55" s="123"/>
      <c r="L55" s="120"/>
      <c r="M55" s="120"/>
      <c r="N55" s="120"/>
      <c r="O55" s="120"/>
      <c r="P55" s="120"/>
      <c r="Q55" s="119"/>
      <c r="R55" s="115"/>
      <c r="S55" s="3"/>
      <c r="T55" s="3"/>
      <c r="U55" s="3"/>
      <c r="V55" s="3"/>
      <c r="W55" s="3"/>
      <c r="X55" s="3"/>
      <c r="Y55" s="3"/>
      <c r="Z55" s="3"/>
      <c r="AA55" s="3"/>
      <c r="AB55" s="3"/>
      <c r="AC55" s="3"/>
    </row>
    <row r="56">
      <c r="A56" s="122"/>
      <c r="B56" s="120"/>
      <c r="C56" s="120"/>
      <c r="D56" s="120"/>
      <c r="E56" s="120"/>
      <c r="F56" s="120"/>
      <c r="G56" s="123"/>
      <c r="H56" s="120"/>
      <c r="I56" s="120"/>
      <c r="J56" s="120"/>
      <c r="K56" s="123"/>
      <c r="L56" s="120"/>
      <c r="M56" s="120"/>
      <c r="N56" s="120"/>
      <c r="O56" s="120"/>
      <c r="P56" s="120"/>
      <c r="Q56" s="120"/>
      <c r="R56" s="115"/>
      <c r="S56" s="3"/>
      <c r="T56" s="3"/>
      <c r="U56" s="3"/>
      <c r="V56" s="3"/>
      <c r="W56" s="3"/>
      <c r="X56" s="3"/>
      <c r="Y56" s="3"/>
      <c r="Z56" s="3"/>
      <c r="AA56" s="3"/>
      <c r="AB56" s="3"/>
      <c r="AC56" s="3"/>
    </row>
    <row r="57">
      <c r="A57" s="122"/>
      <c r="B57" s="120"/>
      <c r="C57" s="120"/>
      <c r="D57" s="120"/>
      <c r="E57" s="120"/>
      <c r="F57" s="120"/>
      <c r="G57" s="123"/>
      <c r="H57" s="120"/>
      <c r="I57" s="120"/>
      <c r="J57" s="120"/>
      <c r="K57" s="123"/>
      <c r="L57" s="120"/>
      <c r="M57" s="120"/>
      <c r="N57" s="120"/>
      <c r="O57" s="120"/>
      <c r="P57" s="120"/>
      <c r="Q57" s="119"/>
      <c r="R57" s="115"/>
      <c r="S57" s="3"/>
      <c r="T57" s="3"/>
      <c r="U57" s="3"/>
      <c r="V57" s="3"/>
      <c r="W57" s="3"/>
      <c r="X57" s="3"/>
      <c r="Y57" s="3"/>
      <c r="Z57" s="3"/>
      <c r="AA57" s="3"/>
      <c r="AB57" s="3"/>
      <c r="AC57" s="3"/>
    </row>
    <row r="58">
      <c r="A58" s="122"/>
      <c r="B58" s="120"/>
      <c r="C58" s="120"/>
      <c r="D58" s="120"/>
      <c r="E58" s="120"/>
      <c r="F58" s="120"/>
      <c r="G58" s="123"/>
      <c r="H58" s="120"/>
      <c r="I58" s="120"/>
      <c r="J58" s="120"/>
      <c r="K58" s="123"/>
      <c r="L58" s="120"/>
      <c r="M58" s="120"/>
      <c r="N58" s="120"/>
      <c r="O58" s="120"/>
      <c r="P58" s="120"/>
      <c r="Q58" s="120"/>
      <c r="R58" s="115"/>
      <c r="S58" s="3"/>
      <c r="T58" s="3"/>
      <c r="U58" s="3"/>
      <c r="V58" s="3"/>
      <c r="W58" s="3"/>
      <c r="X58" s="3"/>
      <c r="Y58" s="3"/>
      <c r="Z58" s="3"/>
      <c r="AA58" s="3"/>
      <c r="AB58" s="3"/>
      <c r="AC58" s="3"/>
    </row>
    <row r="59">
      <c r="A59" s="122"/>
      <c r="B59" s="120"/>
      <c r="C59" s="120"/>
      <c r="D59" s="120"/>
      <c r="E59" s="120"/>
      <c r="F59" s="120"/>
      <c r="G59" s="123"/>
      <c r="H59" s="120"/>
      <c r="I59" s="120"/>
      <c r="J59" s="120"/>
      <c r="K59" s="123"/>
      <c r="L59" s="120"/>
      <c r="M59" s="120"/>
      <c r="N59" s="120"/>
      <c r="O59" s="120"/>
      <c r="P59" s="120"/>
      <c r="Q59" s="116"/>
      <c r="R59" s="115"/>
      <c r="S59" s="3"/>
      <c r="T59" s="3"/>
      <c r="U59" s="3"/>
      <c r="V59" s="3"/>
      <c r="W59" s="3"/>
      <c r="X59" s="3"/>
      <c r="Y59" s="3"/>
      <c r="Z59" s="3"/>
      <c r="AA59" s="3"/>
      <c r="AB59" s="3"/>
      <c r="AC59" s="3"/>
    </row>
    <row r="60">
      <c r="A60" s="122"/>
      <c r="B60" s="120"/>
      <c r="C60" s="120"/>
      <c r="D60" s="120"/>
      <c r="E60" s="120"/>
      <c r="F60" s="120"/>
      <c r="G60" s="123"/>
      <c r="H60" s="120"/>
      <c r="I60" s="120"/>
      <c r="J60" s="120"/>
      <c r="K60" s="123"/>
      <c r="L60" s="120"/>
      <c r="M60" s="120"/>
      <c r="N60" s="120"/>
      <c r="O60" s="120"/>
      <c r="P60" s="120"/>
      <c r="Q60" s="120"/>
      <c r="R60" s="115"/>
      <c r="S60" s="3"/>
      <c r="T60" s="3"/>
      <c r="U60" s="3"/>
      <c r="V60" s="3"/>
      <c r="W60" s="3"/>
      <c r="X60" s="3"/>
      <c r="Y60" s="3"/>
      <c r="Z60" s="3"/>
      <c r="AA60" s="3"/>
      <c r="AB60" s="3"/>
      <c r="AC60" s="3"/>
    </row>
    <row r="61">
      <c r="A61" s="122"/>
      <c r="B61" s="120"/>
      <c r="C61" s="120"/>
      <c r="D61" s="120"/>
      <c r="E61" s="120"/>
      <c r="F61" s="120"/>
      <c r="G61" s="123"/>
      <c r="H61" s="120"/>
      <c r="I61" s="120"/>
      <c r="J61" s="120"/>
      <c r="K61" s="123"/>
      <c r="L61" s="120"/>
      <c r="M61" s="120"/>
      <c r="N61" s="120"/>
      <c r="O61" s="120"/>
      <c r="P61" s="120"/>
      <c r="Q61" s="119"/>
      <c r="R61" s="115"/>
      <c r="S61" s="3"/>
      <c r="T61" s="3"/>
      <c r="U61" s="3"/>
      <c r="V61" s="3"/>
      <c r="W61" s="3"/>
      <c r="X61" s="3"/>
      <c r="Y61" s="3"/>
      <c r="Z61" s="3"/>
      <c r="AA61" s="3"/>
      <c r="AB61" s="3"/>
      <c r="AC61" s="3"/>
    </row>
    <row r="62">
      <c r="A62" s="122"/>
      <c r="B62" s="120"/>
      <c r="C62" s="120"/>
      <c r="D62" s="120"/>
      <c r="E62" s="120"/>
      <c r="F62" s="120"/>
      <c r="G62" s="123"/>
      <c r="H62" s="120"/>
      <c r="I62" s="120"/>
      <c r="J62" s="120"/>
      <c r="K62" s="123"/>
      <c r="L62" s="120"/>
      <c r="M62" s="120"/>
      <c r="N62" s="120"/>
      <c r="O62" s="120"/>
      <c r="P62" s="120"/>
      <c r="Q62" s="119"/>
      <c r="R62" s="115"/>
      <c r="S62" s="3"/>
      <c r="T62" s="3"/>
      <c r="U62" s="3"/>
      <c r="V62" s="3"/>
      <c r="W62" s="3"/>
      <c r="X62" s="3"/>
      <c r="Y62" s="3"/>
      <c r="Z62" s="3"/>
      <c r="AA62" s="3"/>
      <c r="AB62" s="3"/>
      <c r="AC62" s="3"/>
    </row>
    <row r="63">
      <c r="A63" s="122"/>
      <c r="B63" s="120"/>
      <c r="C63" s="120"/>
      <c r="D63" s="120"/>
      <c r="E63" s="120"/>
      <c r="F63" s="120"/>
      <c r="G63" s="123"/>
      <c r="H63" s="120"/>
      <c r="I63" s="120"/>
      <c r="J63" s="120"/>
      <c r="K63" s="123"/>
      <c r="L63" s="120"/>
      <c r="M63" s="120"/>
      <c r="N63" s="120"/>
      <c r="O63" s="120"/>
      <c r="P63" s="120"/>
      <c r="Q63" s="120"/>
      <c r="R63" s="117"/>
    </row>
    <row r="64">
      <c r="A64" s="122"/>
      <c r="B64" s="120"/>
      <c r="C64" s="120"/>
      <c r="D64" s="120"/>
      <c r="E64" s="120"/>
      <c r="F64" s="120"/>
      <c r="G64" s="123"/>
      <c r="H64" s="120"/>
      <c r="I64" s="120"/>
      <c r="J64" s="120"/>
      <c r="K64" s="123"/>
      <c r="L64" s="120"/>
      <c r="M64" s="120"/>
      <c r="N64" s="120"/>
      <c r="O64" s="120"/>
      <c r="P64" s="120"/>
      <c r="Q64" s="119"/>
      <c r="R64" s="115"/>
      <c r="S64" s="3"/>
      <c r="T64" s="3"/>
      <c r="U64" s="3"/>
      <c r="V64" s="3"/>
      <c r="W64" s="3"/>
      <c r="X64" s="3"/>
      <c r="Y64" s="3"/>
      <c r="Z64" s="3"/>
      <c r="AA64" s="3"/>
      <c r="AB64" s="3"/>
      <c r="AC64" s="3"/>
    </row>
    <row r="65">
      <c r="A65" s="122"/>
      <c r="B65" s="120"/>
      <c r="C65" s="120"/>
      <c r="D65" s="120"/>
      <c r="E65" s="120"/>
      <c r="F65" s="120"/>
      <c r="G65" s="123"/>
      <c r="H65" s="120"/>
      <c r="I65" s="120"/>
      <c r="J65" s="120"/>
      <c r="K65" s="123"/>
      <c r="L65" s="120"/>
      <c r="M65" s="120"/>
      <c r="N65" s="120"/>
      <c r="O65" s="120"/>
      <c r="P65" s="120"/>
      <c r="Q65" s="120"/>
      <c r="R65" s="117"/>
    </row>
    <row r="66">
      <c r="A66" s="122"/>
      <c r="B66" s="120"/>
      <c r="C66" s="120"/>
      <c r="D66" s="120"/>
      <c r="E66" s="120"/>
      <c r="F66" s="120"/>
      <c r="G66" s="123"/>
      <c r="H66" s="120"/>
      <c r="I66" s="120"/>
      <c r="J66" s="120"/>
      <c r="K66" s="123"/>
      <c r="L66" s="120"/>
      <c r="M66" s="120"/>
      <c r="N66" s="120"/>
      <c r="O66" s="120"/>
      <c r="P66" s="120"/>
      <c r="Q66" s="119"/>
      <c r="R66" s="117"/>
    </row>
    <row r="67">
      <c r="A67" s="122"/>
      <c r="B67" s="120"/>
      <c r="C67" s="120"/>
      <c r="D67" s="120"/>
      <c r="E67" s="120"/>
      <c r="F67" s="120"/>
      <c r="G67" s="123"/>
      <c r="H67" s="120"/>
      <c r="I67" s="120"/>
      <c r="J67" s="120"/>
      <c r="K67" s="123"/>
      <c r="L67" s="120"/>
      <c r="M67" s="120"/>
      <c r="N67" s="120"/>
      <c r="O67" s="120"/>
      <c r="P67" s="120"/>
      <c r="Q67" s="120"/>
      <c r="R67" s="117"/>
    </row>
    <row r="68">
      <c r="A68" s="122"/>
      <c r="B68" s="120"/>
      <c r="C68" s="120"/>
      <c r="D68" s="120"/>
      <c r="E68" s="120"/>
      <c r="F68" s="120"/>
      <c r="G68" s="123"/>
      <c r="H68" s="120"/>
      <c r="I68" s="120"/>
      <c r="J68" s="120"/>
      <c r="K68" s="123"/>
      <c r="L68" s="120"/>
      <c r="M68" s="120"/>
      <c r="N68" s="120"/>
      <c r="O68" s="120"/>
      <c r="P68" s="120"/>
      <c r="Q68" s="119"/>
      <c r="R68" s="117"/>
    </row>
    <row r="69">
      <c r="A69" s="122"/>
      <c r="B69" s="120"/>
      <c r="C69" s="120"/>
      <c r="D69" s="120"/>
      <c r="E69" s="120"/>
      <c r="F69" s="120"/>
      <c r="G69" s="123"/>
      <c r="H69" s="120"/>
      <c r="I69" s="120"/>
      <c r="J69" s="120"/>
      <c r="K69" s="123"/>
      <c r="L69" s="120"/>
      <c r="M69" s="120"/>
      <c r="N69" s="120"/>
      <c r="O69" s="120"/>
      <c r="P69" s="120"/>
      <c r="Q69" s="120"/>
      <c r="R69" s="117"/>
    </row>
    <row r="70">
      <c r="A70" s="122"/>
      <c r="B70" s="120"/>
      <c r="C70" s="120"/>
      <c r="D70" s="120"/>
      <c r="E70" s="120"/>
      <c r="F70" s="120"/>
      <c r="G70" s="123"/>
      <c r="H70" s="120"/>
      <c r="I70" s="120"/>
      <c r="J70" s="120"/>
      <c r="K70" s="123"/>
      <c r="L70" s="120"/>
      <c r="M70" s="120"/>
      <c r="N70" s="120"/>
      <c r="O70" s="120"/>
      <c r="P70" s="120"/>
      <c r="Q70" s="119"/>
      <c r="R70" s="115"/>
      <c r="S70" s="3"/>
      <c r="T70" s="3"/>
      <c r="U70" s="3"/>
      <c r="V70" s="3"/>
      <c r="W70" s="3"/>
      <c r="X70" s="3"/>
      <c r="Y70" s="3"/>
      <c r="Z70" s="3"/>
      <c r="AA70" s="3"/>
      <c r="AB70" s="3"/>
      <c r="AC70" s="3"/>
    </row>
    <row r="71">
      <c r="A71" s="122"/>
      <c r="B71" s="120"/>
      <c r="C71" s="120"/>
      <c r="D71" s="120"/>
      <c r="E71" s="120"/>
      <c r="F71" s="120"/>
      <c r="G71" s="123"/>
      <c r="H71" s="120"/>
      <c r="I71" s="120"/>
      <c r="J71" s="120"/>
      <c r="K71" s="123"/>
      <c r="L71" s="120"/>
      <c r="M71" s="120"/>
      <c r="N71" s="120"/>
      <c r="O71" s="120"/>
      <c r="P71" s="120"/>
      <c r="Q71" s="120"/>
      <c r="R71" s="117"/>
    </row>
    <row r="72">
      <c r="A72" s="122"/>
      <c r="B72" s="120"/>
      <c r="C72" s="120"/>
      <c r="D72" s="120"/>
      <c r="E72" s="120"/>
      <c r="F72" s="120"/>
      <c r="G72" s="123"/>
      <c r="H72" s="120"/>
      <c r="I72" s="120"/>
      <c r="J72" s="120"/>
      <c r="K72" s="123"/>
      <c r="L72" s="120"/>
      <c r="M72" s="120"/>
      <c r="N72" s="120"/>
      <c r="O72" s="120"/>
      <c r="P72" s="120"/>
      <c r="Q72" s="119"/>
      <c r="R72" s="115"/>
      <c r="S72" s="3"/>
      <c r="T72" s="3"/>
      <c r="U72" s="3"/>
      <c r="V72" s="3"/>
      <c r="W72" s="3"/>
      <c r="X72" s="3"/>
      <c r="Y72" s="3"/>
      <c r="Z72" s="3"/>
      <c r="AA72" s="3"/>
      <c r="AB72" s="3"/>
      <c r="AC72" s="3"/>
    </row>
    <row r="73">
      <c r="A73" s="122"/>
      <c r="B73" s="115"/>
      <c r="C73" s="120"/>
      <c r="D73" s="120"/>
      <c r="E73" s="120"/>
      <c r="F73" s="120"/>
      <c r="G73" s="120"/>
      <c r="H73" s="120"/>
      <c r="I73" s="120"/>
      <c r="J73" s="120"/>
      <c r="K73" s="120"/>
      <c r="L73" s="120"/>
      <c r="M73" s="120"/>
      <c r="N73" s="120"/>
      <c r="O73" s="120"/>
      <c r="P73" s="120"/>
      <c r="Q73" s="120"/>
      <c r="R73" s="117"/>
    </row>
    <row r="74">
      <c r="A74" s="122"/>
      <c r="B74" s="124"/>
      <c r="C74" s="120"/>
      <c r="D74" s="120"/>
      <c r="E74" s="120"/>
      <c r="F74" s="120"/>
      <c r="G74" s="120"/>
      <c r="H74" s="120"/>
      <c r="I74" s="120"/>
      <c r="J74" s="120"/>
      <c r="K74" s="120"/>
      <c r="L74" s="120"/>
      <c r="M74" s="120"/>
      <c r="N74" s="120"/>
      <c r="O74" s="120"/>
      <c r="P74" s="120"/>
      <c r="Q74" s="119"/>
      <c r="R74" s="115"/>
      <c r="S74" s="3"/>
      <c r="T74" s="3"/>
      <c r="U74" s="3"/>
      <c r="V74" s="3"/>
      <c r="W74" s="3"/>
      <c r="X74" s="3"/>
      <c r="Y74" s="3"/>
      <c r="Z74" s="3"/>
      <c r="AA74" s="3"/>
      <c r="AB74" s="3"/>
      <c r="AC74" s="3"/>
    </row>
    <row r="75">
      <c r="A75" s="122"/>
      <c r="B75" s="120"/>
      <c r="C75" s="120"/>
      <c r="D75" s="120"/>
      <c r="E75" s="120"/>
      <c r="F75" s="120"/>
      <c r="G75" s="123"/>
      <c r="H75" s="120"/>
      <c r="I75" s="120"/>
      <c r="J75" s="120"/>
      <c r="K75" s="123"/>
      <c r="L75" s="120"/>
      <c r="M75" s="120"/>
      <c r="N75" s="120"/>
      <c r="O75" s="120"/>
      <c r="P75" s="120"/>
      <c r="Q75" s="120"/>
      <c r="R75" s="115"/>
      <c r="S75" s="3"/>
      <c r="T75" s="3"/>
      <c r="U75" s="3"/>
      <c r="V75" s="3"/>
      <c r="W75" s="3"/>
      <c r="X75" s="3"/>
      <c r="Y75" s="3"/>
      <c r="Z75" s="3"/>
      <c r="AA75" s="3"/>
      <c r="AB75" s="3"/>
      <c r="AC75" s="3"/>
    </row>
    <row r="76">
      <c r="A76" s="122"/>
      <c r="B76" s="119"/>
      <c r="C76" s="125"/>
      <c r="D76" s="125"/>
      <c r="E76" s="125"/>
      <c r="F76" s="125"/>
      <c r="G76" s="126"/>
      <c r="H76" s="125"/>
      <c r="I76" s="125"/>
      <c r="J76" s="125"/>
      <c r="K76" s="126"/>
      <c r="L76" s="125"/>
      <c r="M76" s="125"/>
      <c r="N76" s="125"/>
      <c r="O76" s="120"/>
      <c r="P76" s="125"/>
      <c r="Q76" s="119"/>
      <c r="R76" s="127"/>
      <c r="S76" s="3"/>
      <c r="T76" s="3"/>
      <c r="U76" s="3"/>
      <c r="V76" s="3"/>
      <c r="W76" s="3"/>
      <c r="X76" s="3"/>
      <c r="Y76" s="3"/>
      <c r="Z76" s="3"/>
      <c r="AA76" s="3"/>
      <c r="AB76" s="3"/>
      <c r="AC76" s="3"/>
    </row>
    <row r="77">
      <c r="A77" s="122"/>
      <c r="B77" s="124"/>
      <c r="C77" s="125"/>
      <c r="D77" s="125"/>
      <c r="E77" s="125"/>
      <c r="F77" s="125"/>
      <c r="G77" s="125"/>
      <c r="H77" s="125"/>
      <c r="I77" s="125"/>
      <c r="J77" s="125"/>
      <c r="K77" s="126"/>
      <c r="L77" s="125"/>
      <c r="M77" s="125"/>
      <c r="N77" s="125"/>
      <c r="O77" s="120"/>
      <c r="P77" s="125"/>
      <c r="Q77" s="125"/>
      <c r="R77" s="127"/>
      <c r="S77" s="3"/>
      <c r="T77" s="3"/>
      <c r="U77" s="3"/>
      <c r="V77" s="3"/>
      <c r="W77" s="3"/>
      <c r="X77" s="3"/>
      <c r="Y77" s="3"/>
      <c r="Z77" s="3"/>
      <c r="AA77" s="3"/>
      <c r="AB77" s="3"/>
      <c r="AC77" s="3"/>
    </row>
    <row r="78">
      <c r="A78" s="122"/>
      <c r="B78" s="125"/>
      <c r="C78" s="125"/>
      <c r="D78" s="125"/>
      <c r="E78" s="125"/>
      <c r="F78" s="125"/>
      <c r="G78" s="125"/>
      <c r="H78" s="125"/>
      <c r="I78" s="125"/>
      <c r="J78" s="125"/>
      <c r="K78" s="126"/>
      <c r="L78" s="125"/>
      <c r="M78" s="125"/>
      <c r="N78" s="125"/>
      <c r="O78" s="120"/>
      <c r="P78" s="125"/>
      <c r="Q78" s="119"/>
      <c r="R78" s="128"/>
    </row>
    <row r="79">
      <c r="A79" s="122"/>
      <c r="B79" s="125"/>
      <c r="C79" s="125"/>
      <c r="D79" s="125"/>
      <c r="E79" s="125"/>
      <c r="F79" s="125"/>
      <c r="G79" s="126"/>
      <c r="H79" s="125"/>
      <c r="I79" s="125"/>
      <c r="J79" s="125"/>
      <c r="K79" s="126"/>
      <c r="L79" s="125"/>
      <c r="M79" s="125"/>
      <c r="N79" s="125"/>
      <c r="O79" s="120"/>
      <c r="P79" s="125"/>
      <c r="Q79" s="125"/>
      <c r="R79" s="127"/>
      <c r="S79" s="3"/>
      <c r="T79" s="3"/>
      <c r="U79" s="3"/>
      <c r="V79" s="3"/>
      <c r="W79" s="3"/>
      <c r="X79" s="3"/>
      <c r="Y79" s="3"/>
      <c r="Z79" s="3"/>
      <c r="AA79" s="3"/>
      <c r="AB79" s="3"/>
      <c r="AC79" s="3"/>
    </row>
    <row r="80">
      <c r="A80" s="122"/>
      <c r="B80" s="127"/>
      <c r="C80" s="125"/>
      <c r="D80" s="125"/>
      <c r="E80" s="125"/>
      <c r="F80" s="125"/>
      <c r="G80" s="126"/>
      <c r="H80" s="125"/>
      <c r="I80" s="125"/>
      <c r="J80" s="125"/>
      <c r="K80" s="126"/>
      <c r="L80" s="125"/>
      <c r="M80" s="125"/>
      <c r="N80" s="125"/>
      <c r="O80" s="120"/>
      <c r="P80" s="125"/>
      <c r="Q80" s="119"/>
      <c r="R80" s="127"/>
      <c r="S80" s="3"/>
      <c r="T80" s="3"/>
      <c r="U80" s="3"/>
      <c r="V80" s="3"/>
      <c r="W80" s="3"/>
      <c r="X80" s="3"/>
      <c r="Y80" s="3"/>
      <c r="Z80" s="3"/>
      <c r="AA80" s="3"/>
      <c r="AB80" s="3"/>
      <c r="AC80" s="3"/>
    </row>
    <row r="81">
      <c r="A81" s="122"/>
      <c r="B81" s="124"/>
      <c r="C81" s="125"/>
      <c r="D81" s="125"/>
      <c r="E81" s="125"/>
      <c r="F81" s="125"/>
      <c r="G81" s="126"/>
      <c r="H81" s="125"/>
      <c r="I81" s="125"/>
      <c r="J81" s="125"/>
      <c r="K81" s="126"/>
      <c r="L81" s="125"/>
      <c r="M81" s="125"/>
      <c r="N81" s="125"/>
      <c r="O81" s="120"/>
      <c r="P81" s="125"/>
      <c r="Q81" s="119"/>
      <c r="R81" s="127"/>
      <c r="S81" s="3"/>
      <c r="T81" s="3"/>
      <c r="U81" s="3"/>
      <c r="V81" s="3"/>
      <c r="W81" s="3"/>
      <c r="X81" s="3"/>
      <c r="Y81" s="3"/>
      <c r="Z81" s="3"/>
      <c r="AA81" s="3"/>
      <c r="AB81" s="3"/>
      <c r="AC81" s="3"/>
    </row>
    <row r="82">
      <c r="A82" s="122"/>
      <c r="B82" s="129"/>
      <c r="C82" s="125"/>
      <c r="D82" s="125"/>
      <c r="E82" s="125"/>
      <c r="F82" s="125"/>
      <c r="G82" s="126"/>
      <c r="H82" s="125"/>
      <c r="I82" s="125"/>
      <c r="J82" s="125"/>
      <c r="K82" s="126"/>
      <c r="L82" s="126"/>
      <c r="M82" s="125"/>
      <c r="N82" s="125"/>
      <c r="O82" s="120"/>
      <c r="P82" s="125"/>
      <c r="Q82" s="125"/>
      <c r="R82" s="127"/>
      <c r="S82" s="3"/>
      <c r="T82" s="3"/>
      <c r="U82" s="3"/>
      <c r="V82" s="3"/>
      <c r="W82" s="3"/>
      <c r="X82" s="3"/>
      <c r="Y82" s="3"/>
      <c r="Z82" s="3"/>
      <c r="AA82" s="3"/>
      <c r="AB82" s="3"/>
      <c r="AC82" s="3"/>
    </row>
    <row r="83">
      <c r="A83" s="122"/>
      <c r="B83" s="127"/>
      <c r="C83" s="125"/>
      <c r="D83" s="125"/>
      <c r="E83" s="125"/>
      <c r="F83" s="125"/>
      <c r="G83" s="126"/>
      <c r="H83" s="125"/>
      <c r="I83" s="125"/>
      <c r="J83" s="125"/>
      <c r="K83" s="126"/>
      <c r="L83" s="126"/>
      <c r="M83" s="125"/>
      <c r="N83" s="125"/>
      <c r="O83" s="120"/>
      <c r="P83" s="125"/>
      <c r="Q83" s="130"/>
      <c r="R83" s="127"/>
      <c r="S83" s="3"/>
      <c r="T83" s="3"/>
      <c r="U83" s="3"/>
      <c r="V83" s="3"/>
      <c r="W83" s="3"/>
      <c r="X83" s="3"/>
      <c r="Y83" s="3"/>
      <c r="Z83" s="3"/>
      <c r="AA83" s="3"/>
      <c r="AB83" s="3"/>
      <c r="AC83" s="3"/>
    </row>
    <row r="84">
      <c r="A84" s="122"/>
      <c r="B84" s="125"/>
      <c r="C84" s="125"/>
      <c r="D84" s="125"/>
      <c r="E84" s="125"/>
      <c r="F84" s="125"/>
      <c r="G84" s="125"/>
      <c r="H84" s="125"/>
      <c r="I84" s="125"/>
      <c r="J84" s="125"/>
      <c r="K84" s="126"/>
      <c r="L84" s="125"/>
      <c r="M84" s="125"/>
      <c r="N84" s="125"/>
      <c r="O84" s="120"/>
      <c r="P84" s="125"/>
      <c r="Q84" s="125"/>
      <c r="R84" s="127"/>
      <c r="S84" s="3"/>
      <c r="T84" s="3"/>
      <c r="U84" s="3"/>
      <c r="V84" s="3"/>
      <c r="W84" s="3"/>
      <c r="X84" s="3"/>
      <c r="Y84" s="3"/>
      <c r="Z84" s="3"/>
      <c r="AA84" s="3"/>
      <c r="AB84" s="3"/>
      <c r="AC84" s="3"/>
    </row>
    <row r="85">
      <c r="A85" s="122"/>
      <c r="B85" s="125"/>
      <c r="C85" s="125"/>
      <c r="D85" s="125"/>
      <c r="E85" s="125"/>
      <c r="F85" s="125"/>
      <c r="G85" s="125"/>
      <c r="H85" s="125"/>
      <c r="I85" s="125"/>
      <c r="J85" s="125"/>
      <c r="K85" s="126"/>
      <c r="L85" s="125"/>
      <c r="M85" s="125"/>
      <c r="N85" s="125"/>
      <c r="O85" s="120"/>
      <c r="P85" s="125"/>
      <c r="Q85" s="119"/>
      <c r="R85" s="127"/>
      <c r="S85" s="3"/>
      <c r="T85" s="3"/>
      <c r="U85" s="3"/>
      <c r="V85" s="3"/>
      <c r="W85" s="3"/>
      <c r="X85" s="3"/>
      <c r="Y85" s="3"/>
      <c r="Z85" s="3"/>
      <c r="AA85" s="3"/>
      <c r="AB85" s="3"/>
      <c r="AC85" s="3"/>
    </row>
    <row r="86">
      <c r="A86" s="122"/>
      <c r="B86" s="125"/>
      <c r="C86" s="125"/>
      <c r="D86" s="125"/>
      <c r="E86" s="125"/>
      <c r="F86" s="125"/>
      <c r="G86" s="126"/>
      <c r="H86" s="125"/>
      <c r="I86" s="125"/>
      <c r="J86" s="125"/>
      <c r="K86" s="126"/>
      <c r="L86" s="125"/>
      <c r="M86" s="125"/>
      <c r="N86" s="125"/>
      <c r="O86" s="120"/>
      <c r="P86" s="125"/>
      <c r="Q86" s="125"/>
      <c r="R86" s="127"/>
      <c r="S86" s="3"/>
      <c r="T86" s="3"/>
      <c r="U86" s="3"/>
      <c r="V86" s="3"/>
      <c r="W86" s="3"/>
      <c r="X86" s="3"/>
      <c r="Y86" s="3"/>
      <c r="Z86" s="3"/>
      <c r="AA86" s="3"/>
      <c r="AB86" s="3"/>
      <c r="AC86" s="3"/>
    </row>
    <row r="87">
      <c r="A87" s="122"/>
      <c r="B87" s="125"/>
      <c r="C87" s="125"/>
      <c r="D87" s="125"/>
      <c r="E87" s="125"/>
      <c r="F87" s="125"/>
      <c r="G87" s="126"/>
      <c r="H87" s="125"/>
      <c r="I87" s="125"/>
      <c r="J87" s="125"/>
      <c r="K87" s="126"/>
      <c r="L87" s="125"/>
      <c r="M87" s="125"/>
      <c r="N87" s="125"/>
      <c r="O87" s="120"/>
      <c r="P87" s="125"/>
      <c r="Q87" s="119"/>
      <c r="R87" s="127"/>
      <c r="S87" s="3"/>
      <c r="T87" s="3"/>
      <c r="U87" s="3"/>
      <c r="V87" s="3"/>
      <c r="W87" s="3"/>
      <c r="X87" s="3"/>
      <c r="Y87" s="3"/>
      <c r="Z87" s="3"/>
      <c r="AA87" s="3"/>
      <c r="AB87" s="3"/>
      <c r="AC87" s="3"/>
    </row>
    <row r="88">
      <c r="A88" s="122"/>
      <c r="B88" s="129"/>
      <c r="C88" s="125"/>
      <c r="D88" s="125"/>
      <c r="E88" s="125"/>
      <c r="F88" s="125"/>
      <c r="G88" s="126"/>
      <c r="H88" s="125"/>
      <c r="I88" s="125"/>
      <c r="J88" s="125"/>
      <c r="K88" s="126"/>
      <c r="L88" s="125"/>
      <c r="M88" s="125"/>
      <c r="N88" s="125"/>
      <c r="O88" s="120"/>
      <c r="P88" s="125"/>
      <c r="Q88" s="125"/>
      <c r="R88" s="127"/>
      <c r="S88" s="3"/>
      <c r="T88" s="3"/>
      <c r="U88" s="3"/>
      <c r="V88" s="3"/>
      <c r="W88" s="3"/>
      <c r="X88" s="3"/>
      <c r="Y88" s="3"/>
      <c r="Z88" s="3"/>
      <c r="AA88" s="3"/>
      <c r="AB88" s="3"/>
      <c r="AC88" s="3"/>
    </row>
    <row r="89">
      <c r="A89" s="122"/>
      <c r="B89" s="127"/>
      <c r="C89" s="125"/>
      <c r="D89" s="125"/>
      <c r="E89" s="125"/>
      <c r="F89" s="125"/>
      <c r="G89" s="126"/>
      <c r="H89" s="125"/>
      <c r="I89" s="125"/>
      <c r="J89" s="125"/>
      <c r="K89" s="126"/>
      <c r="L89" s="125"/>
      <c r="M89" s="125"/>
      <c r="N89" s="125"/>
      <c r="O89" s="120"/>
      <c r="P89" s="125"/>
      <c r="Q89" s="119"/>
      <c r="R89" s="127"/>
      <c r="S89" s="3"/>
      <c r="T89" s="3"/>
      <c r="U89" s="3"/>
      <c r="V89" s="3"/>
      <c r="W89" s="3"/>
      <c r="X89" s="3"/>
      <c r="Y89" s="3"/>
      <c r="Z89" s="3"/>
      <c r="AA89" s="3"/>
      <c r="AB89" s="3"/>
      <c r="AC89" s="3"/>
    </row>
    <row r="90">
      <c r="A90" s="122"/>
      <c r="B90" s="124"/>
      <c r="C90" s="125"/>
      <c r="D90" s="125"/>
      <c r="E90" s="125"/>
      <c r="F90" s="125"/>
      <c r="G90" s="126"/>
      <c r="H90" s="125"/>
      <c r="I90" s="125"/>
      <c r="J90" s="125"/>
      <c r="K90" s="126"/>
      <c r="L90" s="125"/>
      <c r="M90" s="125"/>
      <c r="N90" s="125"/>
      <c r="O90" s="120"/>
      <c r="P90" s="125"/>
      <c r="Q90" s="125"/>
      <c r="R90" s="127"/>
      <c r="S90" s="3"/>
      <c r="T90" s="3"/>
      <c r="U90" s="3"/>
      <c r="V90" s="3"/>
      <c r="W90" s="3"/>
      <c r="X90" s="3"/>
      <c r="Y90" s="3"/>
      <c r="Z90" s="3"/>
      <c r="AA90" s="3"/>
      <c r="AB90" s="3"/>
      <c r="AC90" s="3"/>
    </row>
    <row r="91">
      <c r="A91" s="122"/>
      <c r="B91" s="124"/>
      <c r="C91" s="125"/>
      <c r="D91" s="125"/>
      <c r="E91" s="125"/>
      <c r="F91" s="125"/>
      <c r="G91" s="126"/>
      <c r="H91" s="125"/>
      <c r="I91" s="125"/>
      <c r="J91" s="125"/>
      <c r="K91" s="126"/>
      <c r="L91" s="125"/>
      <c r="M91" s="125"/>
      <c r="N91" s="125"/>
      <c r="O91" s="120"/>
      <c r="P91" s="125"/>
      <c r="Q91" s="119"/>
      <c r="R91" s="127"/>
      <c r="S91" s="3"/>
      <c r="T91" s="3"/>
      <c r="U91" s="3"/>
      <c r="V91" s="3"/>
      <c r="W91" s="3"/>
      <c r="X91" s="3"/>
      <c r="Y91" s="3"/>
      <c r="Z91" s="3"/>
      <c r="AA91" s="3"/>
      <c r="AB91" s="3"/>
      <c r="AC91" s="3"/>
    </row>
    <row r="92">
      <c r="A92" s="122"/>
      <c r="B92" s="125"/>
      <c r="C92" s="125"/>
      <c r="D92" s="125"/>
      <c r="E92" s="125"/>
      <c r="F92" s="125"/>
      <c r="G92" s="126"/>
      <c r="H92" s="125"/>
      <c r="I92" s="125"/>
      <c r="J92" s="125"/>
      <c r="K92" s="126"/>
      <c r="L92" s="125"/>
      <c r="M92" s="125"/>
      <c r="N92" s="125"/>
      <c r="O92" s="120"/>
      <c r="P92" s="125"/>
      <c r="Q92" s="119"/>
      <c r="R92" s="127"/>
      <c r="S92" s="3"/>
      <c r="T92" s="3"/>
      <c r="U92" s="3"/>
      <c r="V92" s="3"/>
      <c r="W92" s="3"/>
      <c r="X92" s="3"/>
      <c r="Y92" s="3"/>
      <c r="Z92" s="3"/>
      <c r="AA92" s="3"/>
      <c r="AB92" s="3"/>
      <c r="AC92" s="3"/>
    </row>
    <row r="93">
      <c r="A93" s="122"/>
      <c r="B93" s="131"/>
      <c r="C93" s="125"/>
      <c r="D93" s="125"/>
      <c r="E93" s="125"/>
      <c r="F93" s="125"/>
      <c r="G93" s="126"/>
      <c r="H93" s="125"/>
      <c r="I93" s="125"/>
      <c r="J93" s="125"/>
      <c r="K93" s="126"/>
      <c r="L93" s="125"/>
      <c r="M93" s="125"/>
      <c r="N93" s="125"/>
      <c r="O93" s="120"/>
      <c r="P93" s="125"/>
      <c r="Q93" s="125"/>
      <c r="R93" s="127"/>
      <c r="S93" s="3"/>
      <c r="T93" s="3"/>
      <c r="U93" s="3"/>
      <c r="V93" s="3"/>
      <c r="W93" s="3"/>
      <c r="X93" s="3"/>
      <c r="Y93" s="3"/>
      <c r="Z93" s="3"/>
      <c r="AA93" s="3"/>
      <c r="AB93" s="3"/>
      <c r="AC93" s="3"/>
    </row>
    <row r="94">
      <c r="A94" s="122"/>
      <c r="B94" s="127"/>
      <c r="C94" s="125"/>
      <c r="D94" s="125"/>
      <c r="E94" s="125"/>
      <c r="F94" s="125"/>
      <c r="G94" s="126"/>
      <c r="H94" s="125"/>
      <c r="I94" s="125"/>
      <c r="J94" s="125"/>
      <c r="K94" s="126"/>
      <c r="L94" s="125"/>
      <c r="M94" s="125"/>
      <c r="N94" s="125"/>
      <c r="O94" s="120"/>
      <c r="P94" s="125"/>
      <c r="Q94" s="119"/>
      <c r="R94" s="127"/>
      <c r="S94" s="3"/>
      <c r="T94" s="3"/>
      <c r="U94" s="3"/>
      <c r="V94" s="3"/>
      <c r="W94" s="3"/>
      <c r="X94" s="3"/>
      <c r="Y94" s="3"/>
      <c r="Z94" s="3"/>
      <c r="AA94" s="3"/>
      <c r="AB94" s="3"/>
      <c r="AC94" s="3"/>
    </row>
    <row r="95">
      <c r="A95" s="122"/>
      <c r="B95" s="127"/>
      <c r="C95" s="125"/>
      <c r="D95" s="125"/>
      <c r="E95" s="125"/>
      <c r="F95" s="125"/>
      <c r="G95" s="126"/>
      <c r="H95" s="125"/>
      <c r="I95" s="125"/>
      <c r="J95" s="125"/>
      <c r="K95" s="126"/>
      <c r="L95" s="125"/>
      <c r="M95" s="125"/>
      <c r="N95" s="125"/>
      <c r="O95" s="120"/>
      <c r="P95" s="125"/>
      <c r="Q95" s="125"/>
      <c r="R95" s="127"/>
      <c r="S95" s="3"/>
      <c r="T95" s="3"/>
      <c r="U95" s="3"/>
      <c r="V95" s="3"/>
      <c r="W95" s="3"/>
      <c r="X95" s="3"/>
      <c r="Y95" s="3"/>
      <c r="Z95" s="3"/>
      <c r="AA95" s="3"/>
      <c r="AB95" s="3"/>
      <c r="AC95" s="3"/>
    </row>
    <row r="96">
      <c r="A96" s="122"/>
      <c r="B96" s="125"/>
      <c r="C96" s="125"/>
      <c r="D96" s="125"/>
      <c r="E96" s="125"/>
      <c r="F96" s="125"/>
      <c r="G96" s="126"/>
      <c r="H96" s="125"/>
      <c r="I96" s="125"/>
      <c r="J96" s="125"/>
      <c r="K96" s="126"/>
      <c r="L96" s="125"/>
      <c r="M96" s="125"/>
      <c r="N96" s="125"/>
      <c r="O96" s="120"/>
      <c r="P96" s="125"/>
      <c r="Q96" s="119"/>
      <c r="R96" s="127"/>
      <c r="S96" s="3"/>
      <c r="T96" s="3"/>
      <c r="U96" s="3"/>
      <c r="V96" s="3"/>
      <c r="W96" s="3"/>
      <c r="X96" s="3"/>
      <c r="Y96" s="3"/>
      <c r="Z96" s="3"/>
      <c r="AA96" s="3"/>
      <c r="AB96" s="3"/>
      <c r="AC96" s="3"/>
    </row>
    <row r="97">
      <c r="A97" s="122"/>
      <c r="B97" s="125"/>
      <c r="C97" s="125"/>
      <c r="D97" s="125"/>
      <c r="E97" s="125"/>
      <c r="F97" s="125"/>
      <c r="G97" s="126"/>
      <c r="H97" s="125"/>
      <c r="I97" s="125"/>
      <c r="J97" s="125"/>
      <c r="K97" s="126"/>
      <c r="L97" s="125"/>
      <c r="M97" s="125"/>
      <c r="N97" s="125"/>
      <c r="O97" s="120"/>
      <c r="P97" s="125"/>
      <c r="Q97" s="125"/>
      <c r="R97" s="127"/>
      <c r="S97" s="3"/>
      <c r="T97" s="3"/>
      <c r="U97" s="3"/>
      <c r="V97" s="3"/>
      <c r="W97" s="3"/>
      <c r="X97" s="3"/>
      <c r="Y97" s="3"/>
      <c r="Z97" s="3"/>
      <c r="AA97" s="3"/>
      <c r="AB97" s="3"/>
      <c r="AC97" s="3"/>
    </row>
    <row r="98">
      <c r="A98" s="122"/>
      <c r="B98" s="125"/>
      <c r="C98" s="125"/>
      <c r="D98" s="125"/>
      <c r="E98" s="125"/>
      <c r="F98" s="125"/>
      <c r="G98" s="126"/>
      <c r="H98" s="125"/>
      <c r="I98" s="125"/>
      <c r="J98" s="125"/>
      <c r="K98" s="126"/>
      <c r="L98" s="125"/>
      <c r="M98" s="125"/>
      <c r="N98" s="125"/>
      <c r="O98" s="120"/>
      <c r="P98" s="125"/>
      <c r="Q98" s="119"/>
      <c r="R98" s="127"/>
      <c r="S98" s="3"/>
      <c r="T98" s="3"/>
      <c r="U98" s="3"/>
      <c r="V98" s="3"/>
      <c r="W98" s="3"/>
      <c r="X98" s="3"/>
      <c r="Y98" s="3"/>
      <c r="Z98" s="3"/>
      <c r="AA98" s="3"/>
      <c r="AB98" s="3"/>
      <c r="AC98" s="3"/>
    </row>
    <row r="99">
      <c r="A99" s="122"/>
      <c r="B99" s="125"/>
      <c r="C99" s="125"/>
      <c r="D99" s="125"/>
      <c r="E99" s="125"/>
      <c r="F99" s="125"/>
      <c r="G99" s="126"/>
      <c r="H99" s="125"/>
      <c r="I99" s="125"/>
      <c r="J99" s="125"/>
      <c r="K99" s="126"/>
      <c r="L99" s="125"/>
      <c r="M99" s="125"/>
      <c r="N99" s="125"/>
      <c r="O99" s="120"/>
      <c r="P99" s="125"/>
      <c r="Q99" s="125"/>
      <c r="R99" s="128"/>
    </row>
    <row r="100">
      <c r="A100" s="122"/>
      <c r="B100" s="125"/>
      <c r="C100" s="125"/>
      <c r="D100" s="125"/>
      <c r="E100" s="125"/>
      <c r="F100" s="125"/>
      <c r="G100" s="126"/>
      <c r="H100" s="125"/>
      <c r="I100" s="125"/>
      <c r="J100" s="125"/>
      <c r="K100" s="126"/>
      <c r="L100" s="125"/>
      <c r="M100" s="125"/>
      <c r="N100" s="125"/>
      <c r="O100" s="120"/>
      <c r="P100" s="125"/>
      <c r="Q100" s="119"/>
      <c r="R100" s="128"/>
    </row>
    <row r="101">
      <c r="A101" s="122"/>
      <c r="B101" s="125"/>
      <c r="C101" s="125"/>
      <c r="D101" s="125"/>
      <c r="E101" s="125"/>
      <c r="F101" s="125"/>
      <c r="G101" s="126"/>
      <c r="H101" s="125"/>
      <c r="I101" s="125"/>
      <c r="J101" s="125"/>
      <c r="K101" s="126"/>
      <c r="L101" s="125"/>
      <c r="M101" s="125"/>
      <c r="N101" s="125"/>
      <c r="O101" s="120"/>
      <c r="P101" s="125"/>
      <c r="Q101" s="118"/>
      <c r="R101" s="128"/>
    </row>
    <row r="102">
      <c r="A102" s="122"/>
      <c r="B102" s="125"/>
      <c r="C102" s="125"/>
      <c r="D102" s="125"/>
      <c r="E102" s="125"/>
      <c r="F102" s="125"/>
      <c r="G102" s="125"/>
      <c r="H102" s="125"/>
      <c r="I102" s="125"/>
      <c r="J102" s="125"/>
      <c r="K102" s="126"/>
      <c r="L102" s="125"/>
      <c r="M102" s="126"/>
      <c r="N102" s="125"/>
      <c r="O102" s="120"/>
      <c r="P102" s="125"/>
      <c r="Q102" s="125"/>
      <c r="R102" s="127"/>
      <c r="S102" s="3"/>
      <c r="T102" s="3"/>
      <c r="U102" s="3"/>
      <c r="V102" s="3"/>
      <c r="W102" s="3"/>
      <c r="X102" s="3"/>
      <c r="Y102" s="3"/>
      <c r="Z102" s="3"/>
      <c r="AA102" s="3"/>
      <c r="AB102" s="3"/>
      <c r="AC102" s="3"/>
    </row>
    <row r="103">
      <c r="A103" s="122"/>
      <c r="B103" s="125"/>
      <c r="C103" s="125"/>
      <c r="D103" s="125"/>
      <c r="E103" s="125"/>
      <c r="F103" s="125"/>
      <c r="G103" s="125"/>
      <c r="H103" s="125"/>
      <c r="I103" s="125"/>
      <c r="J103" s="125"/>
      <c r="K103" s="126"/>
      <c r="L103" s="125"/>
      <c r="M103" s="126"/>
      <c r="N103" s="125"/>
      <c r="O103" s="120"/>
      <c r="P103" s="125"/>
      <c r="Q103" s="118"/>
      <c r="R103" s="128"/>
    </row>
    <row r="104">
      <c r="A104" s="122"/>
      <c r="B104" s="125"/>
      <c r="C104" s="125"/>
      <c r="D104" s="125"/>
      <c r="E104" s="125"/>
      <c r="F104" s="125"/>
      <c r="G104" s="125"/>
      <c r="H104" s="125"/>
      <c r="I104" s="125"/>
      <c r="J104" s="125"/>
      <c r="K104" s="126"/>
      <c r="L104" s="125"/>
      <c r="M104" s="126"/>
      <c r="N104" s="125"/>
      <c r="O104" s="120"/>
      <c r="P104" s="125"/>
      <c r="Q104" s="119"/>
      <c r="R104" s="127"/>
      <c r="S104" s="3"/>
      <c r="T104" s="3"/>
      <c r="U104" s="3"/>
      <c r="V104" s="3"/>
      <c r="W104" s="3"/>
      <c r="X104" s="3"/>
      <c r="Y104" s="3"/>
      <c r="Z104" s="3"/>
      <c r="AA104" s="3"/>
      <c r="AB104" s="3"/>
      <c r="AC104" s="3"/>
    </row>
    <row r="105">
      <c r="A105" s="122"/>
      <c r="B105" s="125"/>
      <c r="C105" s="125"/>
      <c r="D105" s="125"/>
      <c r="E105" s="125"/>
      <c r="F105" s="125"/>
      <c r="G105" s="126"/>
      <c r="H105" s="125"/>
      <c r="I105" s="125"/>
      <c r="J105" s="125"/>
      <c r="K105" s="126"/>
      <c r="L105" s="126"/>
      <c r="M105" s="125"/>
      <c r="N105" s="125"/>
      <c r="O105" s="120"/>
      <c r="P105" s="125"/>
      <c r="Q105" s="125"/>
      <c r="R105" s="128"/>
    </row>
    <row r="106">
      <c r="A106" s="122"/>
      <c r="B106" s="125"/>
      <c r="C106" s="125"/>
      <c r="D106" s="125"/>
      <c r="E106" s="125"/>
      <c r="F106" s="125"/>
      <c r="G106" s="126"/>
      <c r="H106" s="125"/>
      <c r="I106" s="125"/>
      <c r="J106" s="125"/>
      <c r="K106" s="126"/>
      <c r="L106" s="126"/>
      <c r="M106" s="125"/>
      <c r="N106" s="125"/>
      <c r="O106" s="120"/>
      <c r="P106" s="125"/>
      <c r="Q106" s="119"/>
      <c r="R106" s="127"/>
      <c r="S106" s="3"/>
      <c r="T106" s="3"/>
      <c r="U106" s="3"/>
      <c r="V106" s="3"/>
      <c r="W106" s="3"/>
      <c r="X106" s="3"/>
      <c r="Y106" s="3"/>
      <c r="Z106" s="3"/>
      <c r="AA106" s="3"/>
      <c r="AB106" s="3"/>
      <c r="AC106" s="3"/>
    </row>
    <row r="107">
      <c r="A107" s="122"/>
      <c r="B107" s="125"/>
      <c r="C107" s="125"/>
      <c r="D107" s="125"/>
      <c r="E107" s="125"/>
      <c r="F107" s="125"/>
      <c r="G107" s="126"/>
      <c r="H107" s="125"/>
      <c r="I107" s="125"/>
      <c r="J107" s="125"/>
      <c r="K107" s="126"/>
      <c r="L107" s="125"/>
      <c r="M107" s="125"/>
      <c r="N107" s="125"/>
      <c r="O107" s="120"/>
      <c r="P107" s="125"/>
      <c r="Q107" s="125"/>
      <c r="R107" s="128"/>
    </row>
    <row r="108">
      <c r="A108" s="122"/>
      <c r="B108" s="125"/>
      <c r="C108" s="125"/>
      <c r="D108" s="125"/>
      <c r="E108" s="125"/>
      <c r="F108" s="125"/>
      <c r="G108" s="126"/>
      <c r="H108" s="125"/>
      <c r="I108" s="125"/>
      <c r="J108" s="125"/>
      <c r="K108" s="126"/>
      <c r="L108" s="125"/>
      <c r="M108" s="125"/>
      <c r="N108" s="125"/>
      <c r="O108" s="120"/>
      <c r="P108" s="125"/>
      <c r="Q108" s="119"/>
      <c r="R108" s="128"/>
    </row>
    <row r="109">
      <c r="A109" s="122"/>
      <c r="B109" s="125"/>
      <c r="C109" s="125"/>
      <c r="D109" s="125"/>
      <c r="E109" s="125"/>
      <c r="F109" s="125"/>
      <c r="G109" s="126"/>
      <c r="H109" s="125"/>
      <c r="I109" s="125"/>
      <c r="J109" s="125"/>
      <c r="K109" s="126"/>
      <c r="L109" s="125"/>
      <c r="M109" s="125"/>
      <c r="N109" s="125"/>
      <c r="O109" s="120"/>
      <c r="P109" s="125"/>
      <c r="Q109" s="119"/>
      <c r="R109" s="128"/>
    </row>
    <row r="110">
      <c r="A110" s="122"/>
      <c r="B110" s="125"/>
      <c r="C110" s="125"/>
      <c r="D110" s="125"/>
      <c r="E110" s="125"/>
      <c r="F110" s="125"/>
      <c r="G110" s="126"/>
      <c r="H110" s="125"/>
      <c r="I110" s="125"/>
      <c r="J110" s="125"/>
      <c r="K110" s="126"/>
      <c r="L110" s="125"/>
      <c r="M110" s="125"/>
      <c r="N110" s="125"/>
      <c r="O110" s="120"/>
      <c r="P110" s="125"/>
      <c r="Q110" s="132"/>
      <c r="R110" s="127"/>
      <c r="S110" s="3"/>
      <c r="T110" s="3"/>
      <c r="U110" s="3"/>
      <c r="V110" s="3"/>
      <c r="W110" s="3"/>
      <c r="X110" s="3"/>
      <c r="Y110" s="3"/>
      <c r="Z110" s="3"/>
      <c r="AA110" s="3"/>
      <c r="AB110" s="3"/>
      <c r="AC110" s="3"/>
    </row>
    <row r="111">
      <c r="A111" s="122"/>
      <c r="B111" s="125"/>
      <c r="C111" s="125"/>
      <c r="D111" s="125"/>
      <c r="E111" s="125"/>
      <c r="F111" s="125"/>
      <c r="G111" s="126"/>
      <c r="H111" s="125"/>
      <c r="I111" s="125"/>
      <c r="J111" s="125"/>
      <c r="K111" s="126"/>
      <c r="L111" s="125"/>
      <c r="M111" s="125"/>
      <c r="N111" s="125"/>
      <c r="O111" s="120"/>
      <c r="P111" s="125"/>
      <c r="Q111" s="116"/>
      <c r="R111" s="127"/>
      <c r="S111" s="3"/>
      <c r="T111" s="3"/>
      <c r="U111" s="3"/>
      <c r="V111" s="3"/>
      <c r="W111" s="3"/>
      <c r="X111" s="3"/>
      <c r="Y111" s="3"/>
      <c r="Z111" s="3"/>
      <c r="AA111" s="3"/>
      <c r="AB111" s="3"/>
      <c r="AC111" s="3"/>
    </row>
    <row r="112">
      <c r="A112" s="122"/>
      <c r="B112" s="125"/>
      <c r="C112" s="125"/>
      <c r="D112" s="125"/>
      <c r="E112" s="125"/>
      <c r="F112" s="125"/>
      <c r="G112" s="125"/>
      <c r="H112" s="125"/>
      <c r="I112" s="125"/>
      <c r="J112" s="125"/>
      <c r="K112" s="126"/>
      <c r="L112" s="125"/>
      <c r="M112" s="125"/>
      <c r="N112" s="125"/>
      <c r="O112" s="120"/>
      <c r="P112" s="125"/>
      <c r="Q112" s="125"/>
      <c r="R112" s="128"/>
    </row>
    <row r="113">
      <c r="A113" s="122"/>
      <c r="B113" s="125"/>
      <c r="C113" s="125"/>
      <c r="D113" s="125"/>
      <c r="E113" s="125"/>
      <c r="F113" s="125"/>
      <c r="G113" s="125"/>
      <c r="H113" s="125"/>
      <c r="I113" s="125"/>
      <c r="J113" s="125"/>
      <c r="K113" s="126"/>
      <c r="L113" s="125"/>
      <c r="M113" s="125"/>
      <c r="N113" s="125"/>
      <c r="O113" s="120"/>
      <c r="P113" s="125"/>
      <c r="Q113" s="119"/>
      <c r="R113" s="127"/>
      <c r="S113" s="3"/>
      <c r="T113" s="3"/>
      <c r="U113" s="3"/>
      <c r="V113" s="3"/>
      <c r="W113" s="3"/>
      <c r="X113" s="3"/>
      <c r="Y113" s="3"/>
      <c r="Z113" s="3"/>
      <c r="AA113" s="3"/>
      <c r="AB113" s="3"/>
      <c r="AC113" s="3"/>
    </row>
    <row r="114">
      <c r="A114" s="122"/>
      <c r="B114" s="125"/>
      <c r="C114" s="125"/>
      <c r="D114" s="125"/>
      <c r="E114" s="125"/>
      <c r="F114" s="125"/>
      <c r="G114" s="126"/>
      <c r="H114" s="125"/>
      <c r="I114" s="125"/>
      <c r="J114" s="125"/>
      <c r="K114" s="126"/>
      <c r="L114" s="125"/>
      <c r="M114" s="125"/>
      <c r="N114" s="125"/>
      <c r="O114" s="120"/>
      <c r="P114" s="125"/>
      <c r="Q114" s="125"/>
      <c r="R114" s="128"/>
    </row>
    <row r="115">
      <c r="A115" s="133"/>
      <c r="B115" s="134"/>
      <c r="C115" s="135"/>
      <c r="D115" s="125"/>
      <c r="E115" s="134"/>
      <c r="F115" s="134"/>
      <c r="G115" s="135"/>
      <c r="H115" s="135"/>
      <c r="I115" s="135"/>
      <c r="J115" s="134"/>
      <c r="K115" s="135"/>
      <c r="L115" s="135"/>
      <c r="M115" s="135"/>
      <c r="N115" s="135"/>
      <c r="O115" s="136"/>
      <c r="P115" s="134"/>
      <c r="Q115" s="119"/>
      <c r="R115" s="128"/>
    </row>
    <row r="116">
      <c r="A116" s="137"/>
      <c r="B116" s="135"/>
      <c r="C116" s="138"/>
      <c r="D116" s="135"/>
      <c r="E116" s="135"/>
      <c r="F116" s="138"/>
      <c r="G116" s="138"/>
      <c r="H116" s="138"/>
      <c r="I116" s="138"/>
      <c r="J116" s="135"/>
      <c r="K116" s="138"/>
      <c r="L116" s="138"/>
      <c r="M116" s="138"/>
      <c r="N116" s="138"/>
      <c r="O116" s="139"/>
      <c r="P116" s="135"/>
      <c r="Q116" s="135"/>
      <c r="R116" s="128"/>
    </row>
    <row r="117">
      <c r="A117" s="137"/>
      <c r="B117" s="135"/>
      <c r="C117" s="138"/>
      <c r="D117" s="135"/>
      <c r="E117" s="135"/>
      <c r="F117" s="138"/>
      <c r="G117" s="138"/>
      <c r="H117" s="138"/>
      <c r="I117" s="138"/>
      <c r="J117" s="135"/>
      <c r="K117" s="138"/>
      <c r="L117" s="138"/>
      <c r="M117" s="138"/>
      <c r="N117" s="138"/>
      <c r="O117" s="139"/>
      <c r="P117" s="135"/>
      <c r="Q117" s="135"/>
      <c r="R117" s="128"/>
    </row>
    <row r="118">
      <c r="A118" s="137"/>
      <c r="B118" s="135"/>
      <c r="C118" s="138"/>
      <c r="D118" s="135"/>
      <c r="E118" s="135"/>
      <c r="F118" s="138"/>
      <c r="G118" s="138"/>
      <c r="H118" s="138"/>
      <c r="I118" s="138"/>
      <c r="J118" s="135"/>
      <c r="K118" s="138"/>
      <c r="L118" s="138"/>
      <c r="M118" s="138"/>
      <c r="N118" s="138"/>
      <c r="O118" s="139"/>
      <c r="P118" s="135"/>
      <c r="Q118" s="135"/>
      <c r="R118" s="128"/>
    </row>
    <row r="119">
      <c r="A119" s="137"/>
      <c r="B119" s="135"/>
      <c r="C119" s="138"/>
      <c r="D119" s="135"/>
      <c r="E119" s="135"/>
      <c r="F119" s="138"/>
      <c r="G119" s="138"/>
      <c r="H119" s="138"/>
      <c r="I119" s="138"/>
      <c r="J119" s="135"/>
      <c r="K119" s="138"/>
      <c r="L119" s="138"/>
      <c r="M119" s="138"/>
      <c r="N119" s="138"/>
      <c r="O119" s="139"/>
      <c r="P119" s="135"/>
      <c r="Q119" s="135"/>
      <c r="R119" s="128"/>
    </row>
    <row r="120">
      <c r="A120" s="137"/>
      <c r="B120" s="135"/>
      <c r="C120" s="138"/>
      <c r="D120" s="135"/>
      <c r="E120" s="135"/>
      <c r="F120" s="138"/>
      <c r="G120" s="138"/>
      <c r="H120" s="138"/>
      <c r="I120" s="138"/>
      <c r="J120" s="135"/>
      <c r="K120" s="138"/>
      <c r="L120" s="138"/>
      <c r="M120" s="138"/>
      <c r="N120" s="138"/>
      <c r="O120" s="139"/>
      <c r="P120" s="135"/>
      <c r="Q120" s="135"/>
      <c r="R120" s="128"/>
    </row>
    <row r="121">
      <c r="A121" s="137"/>
      <c r="B121" s="135"/>
      <c r="C121" s="138"/>
      <c r="D121" s="135"/>
      <c r="E121" s="135"/>
      <c r="F121" s="138"/>
      <c r="G121" s="138"/>
      <c r="H121" s="138"/>
      <c r="I121" s="138"/>
      <c r="J121" s="135"/>
      <c r="K121" s="138"/>
      <c r="L121" s="138"/>
      <c r="M121" s="138"/>
      <c r="N121" s="138"/>
      <c r="O121" s="139"/>
      <c r="P121" s="135"/>
      <c r="Q121" s="135"/>
      <c r="R121" s="128"/>
    </row>
    <row r="122">
      <c r="A122" s="137"/>
      <c r="B122" s="135"/>
      <c r="C122" s="138"/>
      <c r="D122" s="135"/>
      <c r="E122" s="135"/>
      <c r="F122" s="138"/>
      <c r="G122" s="138"/>
      <c r="H122" s="138"/>
      <c r="I122" s="138"/>
      <c r="J122" s="135"/>
      <c r="K122" s="138"/>
      <c r="L122" s="138"/>
      <c r="M122" s="138"/>
      <c r="N122" s="138"/>
      <c r="O122" s="139"/>
      <c r="P122" s="135"/>
      <c r="Q122" s="135"/>
      <c r="R122" s="128"/>
    </row>
    <row r="123">
      <c r="A123" s="137"/>
      <c r="B123" s="135"/>
      <c r="C123" s="138"/>
      <c r="D123" s="135"/>
      <c r="E123" s="135"/>
      <c r="F123" s="138"/>
      <c r="G123" s="138"/>
      <c r="H123" s="138"/>
      <c r="I123" s="138"/>
      <c r="J123" s="135"/>
      <c r="K123" s="138"/>
      <c r="L123" s="138"/>
      <c r="M123" s="138"/>
      <c r="N123" s="138"/>
      <c r="O123" s="139"/>
      <c r="P123" s="135"/>
      <c r="Q123" s="135"/>
      <c r="R123" s="128"/>
    </row>
    <row r="124">
      <c r="A124" s="137"/>
      <c r="B124" s="135"/>
      <c r="C124" s="138"/>
      <c r="D124" s="135"/>
      <c r="E124" s="135"/>
      <c r="F124" s="138"/>
      <c r="G124" s="138"/>
      <c r="H124" s="138"/>
      <c r="I124" s="138"/>
      <c r="J124" s="135"/>
      <c r="K124" s="138"/>
      <c r="L124" s="138"/>
      <c r="M124" s="138"/>
      <c r="N124" s="138"/>
      <c r="O124" s="139"/>
      <c r="P124" s="135"/>
      <c r="Q124" s="135"/>
      <c r="R124" s="128"/>
    </row>
    <row r="125">
      <c r="A125" s="137"/>
      <c r="B125" s="135"/>
      <c r="C125" s="138"/>
      <c r="D125" s="135"/>
      <c r="E125" s="135"/>
      <c r="F125" s="138"/>
      <c r="G125" s="138"/>
      <c r="H125" s="138"/>
      <c r="I125" s="138"/>
      <c r="J125" s="135"/>
      <c r="K125" s="138"/>
      <c r="L125" s="138"/>
      <c r="M125" s="138"/>
      <c r="N125" s="138"/>
      <c r="O125" s="139"/>
      <c r="P125" s="135"/>
      <c r="Q125" s="135"/>
      <c r="R125" s="128"/>
    </row>
    <row r="126">
      <c r="A126" s="137"/>
      <c r="B126" s="135"/>
      <c r="C126" s="138"/>
      <c r="D126" s="135"/>
      <c r="E126" s="135"/>
      <c r="F126" s="138"/>
      <c r="G126" s="138"/>
      <c r="H126" s="138"/>
      <c r="I126" s="138"/>
      <c r="J126" s="135"/>
      <c r="K126" s="138"/>
      <c r="L126" s="138"/>
      <c r="M126" s="138"/>
      <c r="N126" s="138"/>
      <c r="O126" s="139"/>
      <c r="P126" s="135"/>
      <c r="Q126" s="135"/>
      <c r="R126" s="128"/>
    </row>
    <row r="127">
      <c r="A127" s="137"/>
      <c r="B127" s="135"/>
      <c r="C127" s="138"/>
      <c r="D127" s="135"/>
      <c r="E127" s="135"/>
      <c r="F127" s="138"/>
      <c r="G127" s="138"/>
      <c r="H127" s="138"/>
      <c r="I127" s="138"/>
      <c r="J127" s="135"/>
      <c r="K127" s="138"/>
      <c r="L127" s="138"/>
      <c r="M127" s="138"/>
      <c r="N127" s="138"/>
      <c r="O127" s="139"/>
      <c r="P127" s="135"/>
      <c r="Q127" s="135"/>
      <c r="R127" s="128"/>
    </row>
    <row r="128">
      <c r="A128" s="137"/>
      <c r="B128" s="135"/>
      <c r="C128" s="138"/>
      <c r="D128" s="135"/>
      <c r="E128" s="135"/>
      <c r="F128" s="138"/>
      <c r="G128" s="138"/>
      <c r="H128" s="138"/>
      <c r="I128" s="138"/>
      <c r="J128" s="135"/>
      <c r="K128" s="138"/>
      <c r="L128" s="138"/>
      <c r="M128" s="138"/>
      <c r="N128" s="138"/>
      <c r="O128" s="139"/>
      <c r="P128" s="135"/>
      <c r="Q128" s="135"/>
      <c r="R128" s="128"/>
    </row>
    <row r="129">
      <c r="A129" s="137"/>
      <c r="B129" s="135"/>
      <c r="C129" s="138"/>
      <c r="D129" s="135"/>
      <c r="E129" s="135"/>
      <c r="F129" s="138"/>
      <c r="G129" s="138"/>
      <c r="H129" s="138"/>
      <c r="I129" s="138"/>
      <c r="J129" s="135"/>
      <c r="K129" s="138"/>
      <c r="L129" s="138"/>
      <c r="M129" s="138"/>
      <c r="N129" s="138"/>
      <c r="O129" s="139"/>
      <c r="P129" s="135"/>
      <c r="Q129" s="135"/>
      <c r="R129" s="128"/>
    </row>
    <row r="130">
      <c r="A130" s="137"/>
      <c r="B130" s="135"/>
      <c r="C130" s="138"/>
      <c r="D130" s="135"/>
      <c r="E130" s="135"/>
      <c r="F130" s="138"/>
      <c r="G130" s="138"/>
      <c r="H130" s="138"/>
      <c r="I130" s="138"/>
      <c r="J130" s="135"/>
      <c r="K130" s="138"/>
      <c r="L130" s="138"/>
      <c r="M130" s="138"/>
      <c r="N130" s="138"/>
      <c r="O130" s="139"/>
      <c r="P130" s="135"/>
      <c r="Q130" s="135"/>
      <c r="R130" s="128"/>
    </row>
    <row r="131">
      <c r="A131" s="137"/>
      <c r="B131" s="135"/>
      <c r="C131" s="138"/>
      <c r="D131" s="135"/>
      <c r="E131" s="135"/>
      <c r="F131" s="138"/>
      <c r="G131" s="138"/>
      <c r="H131" s="138"/>
      <c r="I131" s="138"/>
      <c r="J131" s="135"/>
      <c r="K131" s="138"/>
      <c r="L131" s="138"/>
      <c r="M131" s="138"/>
      <c r="N131" s="138"/>
      <c r="O131" s="139"/>
      <c r="P131" s="135"/>
      <c r="Q131" s="135"/>
      <c r="R131" s="128"/>
    </row>
    <row r="132">
      <c r="A132" s="137"/>
      <c r="B132" s="135"/>
      <c r="C132" s="138"/>
      <c r="D132" s="135"/>
      <c r="E132" s="135"/>
      <c r="F132" s="138"/>
      <c r="G132" s="138"/>
      <c r="H132" s="138"/>
      <c r="I132" s="138"/>
      <c r="J132" s="135"/>
      <c r="K132" s="138"/>
      <c r="L132" s="138"/>
      <c r="M132" s="138"/>
      <c r="N132" s="138"/>
      <c r="O132" s="139"/>
      <c r="P132" s="135"/>
      <c r="Q132" s="135"/>
      <c r="R132" s="128"/>
    </row>
    <row r="133">
      <c r="A133" s="137"/>
      <c r="B133" s="135"/>
      <c r="C133" s="138"/>
      <c r="D133" s="135"/>
      <c r="E133" s="135"/>
      <c r="F133" s="138"/>
      <c r="G133" s="138"/>
      <c r="H133" s="138"/>
      <c r="I133" s="138"/>
      <c r="J133" s="135"/>
      <c r="K133" s="138"/>
      <c r="L133" s="138"/>
      <c r="M133" s="138"/>
      <c r="N133" s="138"/>
      <c r="O133" s="139"/>
      <c r="P133" s="135"/>
      <c r="Q133" s="135"/>
      <c r="R133" s="128"/>
    </row>
    <row r="134">
      <c r="A134" s="137"/>
      <c r="B134" s="135"/>
      <c r="C134" s="138"/>
      <c r="D134" s="135"/>
      <c r="E134" s="135"/>
      <c r="F134" s="138"/>
      <c r="G134" s="138"/>
      <c r="H134" s="138"/>
      <c r="I134" s="138"/>
      <c r="J134" s="135"/>
      <c r="K134" s="138"/>
      <c r="L134" s="138"/>
      <c r="M134" s="138"/>
      <c r="N134" s="138"/>
      <c r="O134" s="139"/>
      <c r="P134" s="135"/>
      <c r="Q134" s="135"/>
      <c r="R134" s="128"/>
    </row>
    <row r="135">
      <c r="A135" s="137"/>
      <c r="B135" s="135"/>
      <c r="C135" s="138"/>
      <c r="D135" s="135"/>
      <c r="E135" s="135"/>
      <c r="F135" s="138"/>
      <c r="G135" s="138"/>
      <c r="H135" s="138"/>
      <c r="I135" s="138"/>
      <c r="J135" s="135"/>
      <c r="K135" s="138"/>
      <c r="L135" s="138"/>
      <c r="M135" s="138"/>
      <c r="N135" s="138"/>
      <c r="O135" s="139"/>
      <c r="P135" s="135"/>
      <c r="Q135" s="135"/>
      <c r="R135" s="128"/>
    </row>
    <row r="136">
      <c r="A136" s="137"/>
      <c r="B136" s="135"/>
      <c r="C136" s="138"/>
      <c r="D136" s="135"/>
      <c r="E136" s="135"/>
      <c r="F136" s="138"/>
      <c r="G136" s="138"/>
      <c r="H136" s="138"/>
      <c r="I136" s="138"/>
      <c r="J136" s="135"/>
      <c r="K136" s="138"/>
      <c r="L136" s="138"/>
      <c r="M136" s="138"/>
      <c r="N136" s="138"/>
      <c r="O136" s="139"/>
      <c r="P136" s="135"/>
      <c r="Q136" s="135"/>
      <c r="R136" s="128"/>
    </row>
    <row r="137">
      <c r="A137" s="137"/>
      <c r="B137" s="135"/>
      <c r="C137" s="138"/>
      <c r="D137" s="135"/>
      <c r="E137" s="135"/>
      <c r="F137" s="138"/>
      <c r="G137" s="138"/>
      <c r="H137" s="138"/>
      <c r="I137" s="138"/>
      <c r="J137" s="135"/>
      <c r="K137" s="138"/>
      <c r="L137" s="138"/>
      <c r="M137" s="138"/>
      <c r="N137" s="138"/>
      <c r="O137" s="139"/>
      <c r="P137" s="135"/>
      <c r="Q137" s="135"/>
      <c r="R137" s="128"/>
    </row>
    <row r="138">
      <c r="A138" s="137"/>
      <c r="B138" s="135"/>
      <c r="C138" s="138"/>
      <c r="D138" s="135"/>
      <c r="E138" s="135"/>
      <c r="F138" s="138"/>
      <c r="G138" s="138"/>
      <c r="H138" s="138"/>
      <c r="I138" s="138"/>
      <c r="J138" s="135"/>
      <c r="K138" s="138"/>
      <c r="L138" s="138"/>
      <c r="M138" s="138"/>
      <c r="N138" s="138"/>
      <c r="O138" s="139"/>
      <c r="P138" s="135"/>
      <c r="Q138" s="135"/>
      <c r="R138" s="128"/>
    </row>
    <row r="139">
      <c r="A139" s="137"/>
      <c r="B139" s="135"/>
      <c r="C139" s="138"/>
      <c r="D139" s="135"/>
      <c r="E139" s="135"/>
      <c r="F139" s="138"/>
      <c r="G139" s="138"/>
      <c r="H139" s="138"/>
      <c r="I139" s="138"/>
      <c r="J139" s="135"/>
      <c r="K139" s="138"/>
      <c r="L139" s="138"/>
      <c r="M139" s="138"/>
      <c r="N139" s="138"/>
      <c r="O139" s="139"/>
      <c r="P139" s="135"/>
      <c r="Q139" s="135"/>
      <c r="R139" s="128"/>
    </row>
    <row r="140">
      <c r="A140" s="137"/>
      <c r="B140" s="135"/>
      <c r="C140" s="138"/>
      <c r="D140" s="135"/>
      <c r="E140" s="135"/>
      <c r="F140" s="138"/>
      <c r="G140" s="138"/>
      <c r="H140" s="138"/>
      <c r="I140" s="138"/>
      <c r="J140" s="135"/>
      <c r="K140" s="138"/>
      <c r="L140" s="138"/>
      <c r="M140" s="138"/>
      <c r="N140" s="138"/>
      <c r="O140" s="139"/>
      <c r="P140" s="135"/>
      <c r="Q140" s="135"/>
      <c r="R140" s="128"/>
    </row>
    <row r="141">
      <c r="A141" s="137"/>
      <c r="B141" s="135"/>
      <c r="C141" s="138"/>
      <c r="D141" s="135"/>
      <c r="E141" s="135"/>
      <c r="F141" s="138"/>
      <c r="G141" s="138"/>
      <c r="H141" s="138"/>
      <c r="I141" s="138"/>
      <c r="J141" s="135"/>
      <c r="K141" s="138"/>
      <c r="L141" s="138"/>
      <c r="M141" s="138"/>
      <c r="N141" s="138"/>
      <c r="O141" s="139"/>
      <c r="P141" s="135"/>
      <c r="Q141" s="135"/>
      <c r="R141" s="128"/>
    </row>
    <row r="142">
      <c r="A142" s="137"/>
      <c r="B142" s="135"/>
      <c r="C142" s="138"/>
      <c r="D142" s="135"/>
      <c r="E142" s="135"/>
      <c r="F142" s="138"/>
      <c r="G142" s="138"/>
      <c r="H142" s="138"/>
      <c r="I142" s="138"/>
      <c r="J142" s="135"/>
      <c r="K142" s="138"/>
      <c r="L142" s="138"/>
      <c r="M142" s="138"/>
      <c r="N142" s="138"/>
      <c r="O142" s="139"/>
      <c r="P142" s="135"/>
      <c r="Q142" s="135"/>
      <c r="R142" s="128"/>
    </row>
    <row r="143">
      <c r="A143" s="137"/>
      <c r="B143" s="135"/>
      <c r="C143" s="138"/>
      <c r="D143" s="135"/>
      <c r="E143" s="135"/>
      <c r="F143" s="138"/>
      <c r="G143" s="138"/>
      <c r="H143" s="138"/>
      <c r="I143" s="138"/>
      <c r="J143" s="135"/>
      <c r="K143" s="138"/>
      <c r="L143" s="138"/>
      <c r="M143" s="138"/>
      <c r="N143" s="138"/>
      <c r="O143" s="139"/>
      <c r="P143" s="135"/>
      <c r="Q143" s="135"/>
      <c r="R143" s="128"/>
    </row>
    <row r="144">
      <c r="A144" s="137"/>
      <c r="B144" s="135"/>
      <c r="C144" s="138"/>
      <c r="D144" s="135"/>
      <c r="E144" s="135"/>
      <c r="F144" s="138"/>
      <c r="G144" s="138"/>
      <c r="H144" s="138"/>
      <c r="I144" s="138"/>
      <c r="J144" s="135"/>
      <c r="K144" s="138"/>
      <c r="L144" s="138"/>
      <c r="M144" s="138"/>
      <c r="N144" s="138"/>
      <c r="O144" s="139"/>
      <c r="P144" s="135"/>
      <c r="Q144" s="135"/>
      <c r="R144" s="128"/>
    </row>
    <row r="145">
      <c r="A145" s="137"/>
      <c r="B145" s="135"/>
      <c r="C145" s="138"/>
      <c r="D145" s="135"/>
      <c r="E145" s="135"/>
      <c r="F145" s="138"/>
      <c r="G145" s="138"/>
      <c r="H145" s="138"/>
      <c r="I145" s="138"/>
      <c r="J145" s="135"/>
      <c r="K145" s="138"/>
      <c r="L145" s="138"/>
      <c r="M145" s="138"/>
      <c r="N145" s="138"/>
      <c r="O145" s="139"/>
      <c r="P145" s="135"/>
      <c r="Q145" s="135"/>
      <c r="R145" s="128"/>
    </row>
    <row r="146">
      <c r="A146" s="137"/>
      <c r="B146" s="135"/>
      <c r="C146" s="138"/>
      <c r="D146" s="135"/>
      <c r="E146" s="135"/>
      <c r="F146" s="138"/>
      <c r="G146" s="138"/>
      <c r="H146" s="138"/>
      <c r="I146" s="138"/>
      <c r="J146" s="135"/>
      <c r="K146" s="138"/>
      <c r="L146" s="138"/>
      <c r="M146" s="138"/>
      <c r="N146" s="138"/>
      <c r="O146" s="139"/>
      <c r="P146" s="135"/>
      <c r="Q146" s="135"/>
      <c r="R146" s="128"/>
    </row>
    <row r="147">
      <c r="A147" s="137"/>
      <c r="B147" s="135"/>
      <c r="C147" s="138"/>
      <c r="D147" s="135"/>
      <c r="E147" s="135"/>
      <c r="F147" s="138"/>
      <c r="G147" s="138"/>
      <c r="H147" s="138"/>
      <c r="I147" s="138"/>
      <c r="J147" s="135"/>
      <c r="K147" s="138"/>
      <c r="L147" s="138"/>
      <c r="M147" s="138"/>
      <c r="N147" s="138"/>
      <c r="O147" s="139"/>
      <c r="P147" s="135"/>
      <c r="Q147" s="135"/>
      <c r="R147" s="128"/>
    </row>
    <row r="148">
      <c r="A148" s="137"/>
      <c r="B148" s="135"/>
      <c r="C148" s="138"/>
      <c r="D148" s="135"/>
      <c r="E148" s="135"/>
      <c r="F148" s="138"/>
      <c r="G148" s="138"/>
      <c r="H148" s="138"/>
      <c r="I148" s="138"/>
      <c r="J148" s="135"/>
      <c r="K148" s="138"/>
      <c r="L148" s="138"/>
      <c r="M148" s="138"/>
      <c r="N148" s="138"/>
      <c r="O148" s="139"/>
      <c r="P148" s="135"/>
      <c r="Q148" s="135"/>
      <c r="R148" s="128"/>
    </row>
    <row r="149">
      <c r="A149" s="137"/>
      <c r="B149" s="135"/>
      <c r="C149" s="138"/>
      <c r="D149" s="135"/>
      <c r="E149" s="135"/>
      <c r="F149" s="138"/>
      <c r="G149" s="138"/>
      <c r="H149" s="138"/>
      <c r="I149" s="138"/>
      <c r="J149" s="135"/>
      <c r="K149" s="138"/>
      <c r="L149" s="138"/>
      <c r="M149" s="138"/>
      <c r="N149" s="138"/>
      <c r="O149" s="139"/>
      <c r="P149" s="135"/>
      <c r="Q149" s="135"/>
      <c r="R149" s="128"/>
    </row>
    <row r="150">
      <c r="A150" s="137"/>
      <c r="B150" s="135"/>
      <c r="C150" s="138"/>
      <c r="D150" s="135"/>
      <c r="E150" s="135"/>
      <c r="F150" s="138"/>
      <c r="G150" s="138"/>
      <c r="H150" s="138"/>
      <c r="I150" s="138"/>
      <c r="J150" s="135"/>
      <c r="K150" s="138"/>
      <c r="L150" s="138"/>
      <c r="M150" s="138"/>
      <c r="N150" s="138"/>
      <c r="O150" s="139"/>
      <c r="P150" s="135"/>
      <c r="Q150" s="135"/>
      <c r="R150" s="128"/>
    </row>
    <row r="151">
      <c r="A151" s="137"/>
      <c r="B151" s="135"/>
      <c r="C151" s="138"/>
      <c r="D151" s="135"/>
      <c r="E151" s="135"/>
      <c r="F151" s="138"/>
      <c r="G151" s="138"/>
      <c r="H151" s="138"/>
      <c r="I151" s="138"/>
      <c r="J151" s="135"/>
      <c r="K151" s="138"/>
      <c r="L151" s="138"/>
      <c r="M151" s="138"/>
      <c r="N151" s="138"/>
      <c r="O151" s="139"/>
      <c r="P151" s="135"/>
      <c r="Q151" s="135"/>
      <c r="R151" s="128"/>
    </row>
    <row r="152">
      <c r="A152" s="137"/>
      <c r="B152" s="135"/>
      <c r="C152" s="138"/>
      <c r="D152" s="135"/>
      <c r="E152" s="135"/>
      <c r="F152" s="138"/>
      <c r="G152" s="138"/>
      <c r="H152" s="138"/>
      <c r="I152" s="138"/>
      <c r="J152" s="135"/>
      <c r="K152" s="138"/>
      <c r="L152" s="138"/>
      <c r="M152" s="138"/>
      <c r="N152" s="138"/>
      <c r="O152" s="139"/>
      <c r="P152" s="135"/>
      <c r="Q152" s="135"/>
      <c r="R152" s="128"/>
    </row>
    <row r="153">
      <c r="A153" s="137"/>
      <c r="B153" s="135"/>
      <c r="C153" s="138"/>
      <c r="D153" s="135"/>
      <c r="E153" s="135"/>
      <c r="F153" s="138"/>
      <c r="G153" s="138"/>
      <c r="H153" s="138"/>
      <c r="I153" s="138"/>
      <c r="J153" s="135"/>
      <c r="K153" s="138"/>
      <c r="L153" s="138"/>
      <c r="M153" s="138"/>
      <c r="N153" s="138"/>
      <c r="O153" s="139"/>
      <c r="P153" s="135"/>
      <c r="Q153" s="135"/>
      <c r="R153" s="128"/>
    </row>
    <row r="154">
      <c r="A154" s="137"/>
      <c r="B154" s="135"/>
      <c r="C154" s="138"/>
      <c r="D154" s="135"/>
      <c r="E154" s="135"/>
      <c r="F154" s="138"/>
      <c r="G154" s="138"/>
      <c r="H154" s="138"/>
      <c r="I154" s="138"/>
      <c r="J154" s="135"/>
      <c r="K154" s="138"/>
      <c r="L154" s="138"/>
      <c r="M154" s="138"/>
      <c r="N154" s="138"/>
      <c r="O154" s="139"/>
      <c r="P154" s="135"/>
      <c r="Q154" s="135"/>
      <c r="R154" s="128"/>
    </row>
    <row r="155">
      <c r="A155" s="137"/>
      <c r="B155" s="135"/>
      <c r="C155" s="138"/>
      <c r="D155" s="135"/>
      <c r="E155" s="135"/>
      <c r="F155" s="138"/>
      <c r="G155" s="138"/>
      <c r="H155" s="138"/>
      <c r="I155" s="138"/>
      <c r="J155" s="135"/>
      <c r="K155" s="138"/>
      <c r="L155" s="138"/>
      <c r="M155" s="138"/>
      <c r="N155" s="138"/>
      <c r="O155" s="139"/>
      <c r="P155" s="135"/>
      <c r="Q155" s="135"/>
      <c r="R155" s="128"/>
    </row>
    <row r="156">
      <c r="A156" s="137"/>
      <c r="B156" s="135"/>
      <c r="C156" s="138"/>
      <c r="D156" s="135"/>
      <c r="E156" s="135"/>
      <c r="F156" s="138"/>
      <c r="G156" s="138"/>
      <c r="H156" s="138"/>
      <c r="I156" s="138"/>
      <c r="J156" s="135"/>
      <c r="K156" s="138"/>
      <c r="L156" s="138"/>
      <c r="M156" s="138"/>
      <c r="N156" s="138"/>
      <c r="O156" s="139"/>
      <c r="P156" s="135"/>
      <c r="Q156" s="135"/>
      <c r="R156" s="128"/>
    </row>
    <row r="157">
      <c r="A157" s="137"/>
      <c r="B157" s="135"/>
      <c r="C157" s="138"/>
      <c r="D157" s="135"/>
      <c r="E157" s="135"/>
      <c r="F157" s="138"/>
      <c r="G157" s="138"/>
      <c r="H157" s="138"/>
      <c r="I157" s="138"/>
      <c r="J157" s="135"/>
      <c r="K157" s="138"/>
      <c r="L157" s="138"/>
      <c r="M157" s="138"/>
      <c r="N157" s="138"/>
      <c r="O157" s="139"/>
      <c r="P157" s="135"/>
      <c r="Q157" s="135"/>
      <c r="R157" s="128"/>
    </row>
    <row r="158">
      <c r="A158" s="137"/>
      <c r="B158" s="135"/>
      <c r="C158" s="138"/>
      <c r="D158" s="135"/>
      <c r="E158" s="135"/>
      <c r="F158" s="138"/>
      <c r="G158" s="138"/>
      <c r="H158" s="138"/>
      <c r="I158" s="138"/>
      <c r="J158" s="135"/>
      <c r="K158" s="138"/>
      <c r="L158" s="138"/>
      <c r="M158" s="138"/>
      <c r="N158" s="138"/>
      <c r="O158" s="139"/>
      <c r="P158" s="135"/>
      <c r="Q158" s="135"/>
      <c r="R158" s="128"/>
    </row>
    <row r="159">
      <c r="A159" s="137"/>
      <c r="B159" s="135"/>
      <c r="C159" s="138"/>
      <c r="D159" s="135"/>
      <c r="E159" s="135"/>
      <c r="F159" s="138"/>
      <c r="G159" s="138"/>
      <c r="H159" s="138"/>
      <c r="I159" s="138"/>
      <c r="J159" s="135"/>
      <c r="K159" s="138"/>
      <c r="L159" s="138"/>
      <c r="M159" s="138"/>
      <c r="N159" s="138"/>
      <c r="O159" s="139"/>
      <c r="P159" s="135"/>
      <c r="Q159" s="135"/>
      <c r="R159" s="128"/>
    </row>
    <row r="160">
      <c r="A160" s="137"/>
      <c r="B160" s="135"/>
      <c r="C160" s="138"/>
      <c r="D160" s="135"/>
      <c r="E160" s="135"/>
      <c r="F160" s="138"/>
      <c r="G160" s="138"/>
      <c r="H160" s="138"/>
      <c r="I160" s="138"/>
      <c r="J160" s="135"/>
      <c r="K160" s="138"/>
      <c r="L160" s="138"/>
      <c r="M160" s="138"/>
      <c r="N160" s="138"/>
      <c r="O160" s="139"/>
      <c r="P160" s="135"/>
      <c r="Q160" s="135"/>
      <c r="R160" s="128"/>
    </row>
    <row r="161">
      <c r="A161" s="137"/>
      <c r="B161" s="135"/>
      <c r="C161" s="138"/>
      <c r="D161" s="135"/>
      <c r="E161" s="135"/>
      <c r="F161" s="138"/>
      <c r="G161" s="138"/>
      <c r="H161" s="138"/>
      <c r="I161" s="138"/>
      <c r="J161" s="135"/>
      <c r="K161" s="138"/>
      <c r="L161" s="138"/>
      <c r="M161" s="138"/>
      <c r="N161" s="138"/>
      <c r="O161" s="139"/>
      <c r="P161" s="135"/>
      <c r="Q161" s="135"/>
      <c r="R161" s="128"/>
    </row>
    <row r="162">
      <c r="A162" s="137"/>
      <c r="B162" s="135"/>
      <c r="C162" s="138"/>
      <c r="D162" s="135"/>
      <c r="E162" s="135"/>
      <c r="F162" s="138"/>
      <c r="G162" s="138"/>
      <c r="H162" s="138"/>
      <c r="I162" s="138"/>
      <c r="J162" s="135"/>
      <c r="K162" s="138"/>
      <c r="L162" s="138"/>
      <c r="M162" s="138"/>
      <c r="N162" s="138"/>
      <c r="O162" s="139"/>
      <c r="P162" s="135"/>
      <c r="Q162" s="135"/>
      <c r="R162" s="128"/>
    </row>
    <row r="163">
      <c r="A163" s="137"/>
      <c r="B163" s="135"/>
      <c r="C163" s="138"/>
      <c r="D163" s="135"/>
      <c r="E163" s="135"/>
      <c r="F163" s="138"/>
      <c r="G163" s="138"/>
      <c r="H163" s="138"/>
      <c r="I163" s="138"/>
      <c r="J163" s="135"/>
      <c r="K163" s="138"/>
      <c r="L163" s="138"/>
      <c r="M163" s="138"/>
      <c r="N163" s="138"/>
      <c r="O163" s="139"/>
      <c r="P163" s="135"/>
      <c r="Q163" s="135"/>
      <c r="R163" s="128"/>
    </row>
    <row r="164">
      <c r="A164" s="137"/>
      <c r="B164" s="135"/>
      <c r="C164" s="138"/>
      <c r="D164" s="135"/>
      <c r="E164" s="135"/>
      <c r="F164" s="138"/>
      <c r="G164" s="138"/>
      <c r="H164" s="138"/>
      <c r="I164" s="138"/>
      <c r="J164" s="135"/>
      <c r="K164" s="138"/>
      <c r="L164" s="138"/>
      <c r="M164" s="138"/>
      <c r="N164" s="138"/>
      <c r="O164" s="139"/>
      <c r="P164" s="135"/>
      <c r="Q164" s="135"/>
      <c r="R164" s="128"/>
    </row>
    <row r="165">
      <c r="A165" s="137"/>
      <c r="B165" s="135"/>
      <c r="C165" s="138"/>
      <c r="D165" s="135"/>
      <c r="E165" s="135"/>
      <c r="F165" s="138"/>
      <c r="G165" s="138"/>
      <c r="H165" s="138"/>
      <c r="I165" s="138"/>
      <c r="J165" s="135"/>
      <c r="K165" s="138"/>
      <c r="L165" s="138"/>
      <c r="M165" s="138"/>
      <c r="N165" s="138"/>
      <c r="O165" s="139"/>
      <c r="P165" s="135"/>
      <c r="Q165" s="135"/>
      <c r="R165" s="128"/>
    </row>
    <row r="166">
      <c r="A166" s="137"/>
      <c r="B166" s="135"/>
      <c r="C166" s="138"/>
      <c r="D166" s="135"/>
      <c r="E166" s="135"/>
      <c r="F166" s="138"/>
      <c r="G166" s="138"/>
      <c r="H166" s="138"/>
      <c r="I166" s="138"/>
      <c r="J166" s="135"/>
      <c r="K166" s="138"/>
      <c r="L166" s="138"/>
      <c r="M166" s="138"/>
      <c r="N166" s="138"/>
      <c r="O166" s="139"/>
      <c r="P166" s="135"/>
      <c r="Q166" s="135"/>
      <c r="R166" s="128"/>
    </row>
    <row r="167">
      <c r="A167" s="137"/>
      <c r="B167" s="135"/>
      <c r="C167" s="138"/>
      <c r="D167" s="135"/>
      <c r="E167" s="135"/>
      <c r="F167" s="138"/>
      <c r="G167" s="138"/>
      <c r="H167" s="138"/>
      <c r="I167" s="138"/>
      <c r="J167" s="135"/>
      <c r="K167" s="138"/>
      <c r="L167" s="138"/>
      <c r="M167" s="138"/>
      <c r="N167" s="138"/>
      <c r="O167" s="139"/>
      <c r="P167" s="135"/>
      <c r="Q167" s="135"/>
      <c r="R167" s="128"/>
    </row>
    <row r="168">
      <c r="A168" s="137"/>
      <c r="B168" s="135"/>
      <c r="C168" s="138"/>
      <c r="D168" s="135"/>
      <c r="E168" s="135"/>
      <c r="F168" s="138"/>
      <c r="G168" s="138"/>
      <c r="H168" s="138"/>
      <c r="I168" s="138"/>
      <c r="J168" s="135"/>
      <c r="K168" s="138"/>
      <c r="L168" s="138"/>
      <c r="M168" s="138"/>
      <c r="N168" s="138"/>
      <c r="O168" s="139"/>
      <c r="P168" s="135"/>
      <c r="Q168" s="135"/>
      <c r="R168" s="128"/>
    </row>
    <row r="169">
      <c r="A169" s="137"/>
      <c r="B169" s="135"/>
      <c r="C169" s="138"/>
      <c r="D169" s="135"/>
      <c r="E169" s="135"/>
      <c r="F169" s="138"/>
      <c r="G169" s="138"/>
      <c r="H169" s="138"/>
      <c r="I169" s="138"/>
      <c r="J169" s="135"/>
      <c r="K169" s="138"/>
      <c r="L169" s="138"/>
      <c r="M169" s="138"/>
      <c r="N169" s="138"/>
      <c r="O169" s="139"/>
      <c r="P169" s="135"/>
      <c r="Q169" s="135"/>
      <c r="R169" s="128"/>
    </row>
    <row r="170">
      <c r="A170" s="137"/>
      <c r="B170" s="135"/>
      <c r="C170" s="138"/>
      <c r="D170" s="135"/>
      <c r="E170" s="135"/>
      <c r="F170" s="138"/>
      <c r="G170" s="138"/>
      <c r="H170" s="138"/>
      <c r="I170" s="138"/>
      <c r="J170" s="135"/>
      <c r="K170" s="138"/>
      <c r="L170" s="138"/>
      <c r="M170" s="138"/>
      <c r="N170" s="138"/>
      <c r="O170" s="139"/>
      <c r="P170" s="135"/>
      <c r="Q170" s="135"/>
      <c r="R170" s="128"/>
    </row>
    <row r="171">
      <c r="A171" s="137"/>
      <c r="B171" s="135"/>
      <c r="C171" s="138"/>
      <c r="D171" s="135"/>
      <c r="E171" s="135"/>
      <c r="F171" s="138"/>
      <c r="G171" s="138"/>
      <c r="H171" s="138"/>
      <c r="I171" s="138"/>
      <c r="J171" s="135"/>
      <c r="K171" s="138"/>
      <c r="L171" s="138"/>
      <c r="M171" s="138"/>
      <c r="N171" s="138"/>
      <c r="O171" s="139"/>
      <c r="P171" s="135"/>
      <c r="Q171" s="135"/>
      <c r="R171" s="128"/>
    </row>
    <row r="172">
      <c r="A172" s="137"/>
      <c r="B172" s="135"/>
      <c r="C172" s="138"/>
      <c r="D172" s="135"/>
      <c r="E172" s="135"/>
      <c r="F172" s="138"/>
      <c r="G172" s="138"/>
      <c r="H172" s="138"/>
      <c r="I172" s="138"/>
      <c r="J172" s="135"/>
      <c r="K172" s="138"/>
      <c r="L172" s="138"/>
      <c r="M172" s="138"/>
      <c r="N172" s="138"/>
      <c r="O172" s="139"/>
      <c r="P172" s="135"/>
      <c r="Q172" s="135"/>
      <c r="R172" s="128"/>
    </row>
    <row r="173">
      <c r="A173" s="137"/>
      <c r="B173" s="135"/>
      <c r="C173" s="138"/>
      <c r="D173" s="135"/>
      <c r="E173" s="135"/>
      <c r="F173" s="138"/>
      <c r="G173" s="138"/>
      <c r="H173" s="138"/>
      <c r="I173" s="138"/>
      <c r="J173" s="135"/>
      <c r="K173" s="138"/>
      <c r="L173" s="138"/>
      <c r="M173" s="138"/>
      <c r="N173" s="138"/>
      <c r="O173" s="139"/>
      <c r="P173" s="135"/>
      <c r="Q173" s="135"/>
      <c r="R173" s="128"/>
    </row>
    <row r="174">
      <c r="A174" s="137"/>
      <c r="B174" s="135"/>
      <c r="C174" s="138"/>
      <c r="D174" s="135"/>
      <c r="E174" s="135"/>
      <c r="F174" s="138"/>
      <c r="G174" s="138"/>
      <c r="H174" s="138"/>
      <c r="I174" s="138"/>
      <c r="J174" s="135"/>
      <c r="K174" s="138"/>
      <c r="L174" s="138"/>
      <c r="M174" s="138"/>
      <c r="N174" s="138"/>
      <c r="O174" s="139"/>
      <c r="P174" s="135"/>
      <c r="Q174" s="135"/>
      <c r="R174" s="128"/>
    </row>
    <row r="175">
      <c r="A175" s="137"/>
      <c r="B175" s="135"/>
      <c r="C175" s="138"/>
      <c r="D175" s="135"/>
      <c r="E175" s="135"/>
      <c r="F175" s="138"/>
      <c r="G175" s="138"/>
      <c r="H175" s="138"/>
      <c r="I175" s="138"/>
      <c r="J175" s="135"/>
      <c r="K175" s="138"/>
      <c r="L175" s="138"/>
      <c r="M175" s="138"/>
      <c r="N175" s="138"/>
      <c r="O175" s="139"/>
      <c r="P175" s="135"/>
      <c r="Q175" s="135"/>
      <c r="R175" s="128"/>
    </row>
    <row r="176">
      <c r="A176" s="137"/>
      <c r="B176" s="135"/>
      <c r="C176" s="138"/>
      <c r="D176" s="135"/>
      <c r="E176" s="135"/>
      <c r="F176" s="138"/>
      <c r="G176" s="138"/>
      <c r="H176" s="138"/>
      <c r="I176" s="138"/>
      <c r="J176" s="135"/>
      <c r="K176" s="138"/>
      <c r="L176" s="138"/>
      <c r="M176" s="138"/>
      <c r="N176" s="138"/>
      <c r="O176" s="139"/>
      <c r="P176" s="135"/>
      <c r="Q176" s="135"/>
      <c r="R176" s="128"/>
    </row>
    <row r="177">
      <c r="A177" s="137"/>
      <c r="B177" s="135"/>
      <c r="C177" s="138"/>
      <c r="D177" s="135"/>
      <c r="E177" s="135"/>
      <c r="F177" s="138"/>
      <c r="G177" s="138"/>
      <c r="H177" s="138"/>
      <c r="I177" s="138"/>
      <c r="J177" s="135"/>
      <c r="K177" s="138"/>
      <c r="L177" s="138"/>
      <c r="M177" s="138"/>
      <c r="N177" s="138"/>
      <c r="O177" s="139"/>
      <c r="P177" s="135"/>
      <c r="Q177" s="135"/>
      <c r="R177" s="128"/>
    </row>
    <row r="178">
      <c r="A178" s="137"/>
      <c r="B178" s="135"/>
      <c r="C178" s="138"/>
      <c r="D178" s="135"/>
      <c r="E178" s="135"/>
      <c r="F178" s="138"/>
      <c r="G178" s="138"/>
      <c r="H178" s="138"/>
      <c r="I178" s="138"/>
      <c r="J178" s="135"/>
      <c r="K178" s="138"/>
      <c r="L178" s="138"/>
      <c r="M178" s="138"/>
      <c r="N178" s="138"/>
      <c r="O178" s="139"/>
      <c r="P178" s="135"/>
      <c r="Q178" s="135"/>
      <c r="R178" s="128"/>
    </row>
    <row r="179">
      <c r="A179" s="137"/>
      <c r="B179" s="135"/>
      <c r="C179" s="138"/>
      <c r="D179" s="135"/>
      <c r="E179" s="135"/>
      <c r="F179" s="138"/>
      <c r="G179" s="138"/>
      <c r="H179" s="138"/>
      <c r="I179" s="138"/>
      <c r="J179" s="135"/>
      <c r="K179" s="138"/>
      <c r="L179" s="138"/>
      <c r="M179" s="138"/>
      <c r="N179" s="138"/>
      <c r="O179" s="139"/>
      <c r="P179" s="135"/>
      <c r="Q179" s="135"/>
      <c r="R179" s="128"/>
    </row>
    <row r="180">
      <c r="A180" s="137"/>
      <c r="B180" s="135"/>
      <c r="C180" s="138"/>
      <c r="D180" s="135"/>
      <c r="E180" s="135"/>
      <c r="F180" s="138"/>
      <c r="G180" s="138"/>
      <c r="H180" s="138"/>
      <c r="I180" s="138"/>
      <c r="J180" s="135"/>
      <c r="K180" s="138"/>
      <c r="L180" s="138"/>
      <c r="M180" s="138"/>
      <c r="N180" s="138"/>
      <c r="O180" s="139"/>
      <c r="P180" s="135"/>
      <c r="Q180" s="135"/>
      <c r="R180" s="128"/>
    </row>
    <row r="181">
      <c r="A181" s="137"/>
      <c r="B181" s="135"/>
      <c r="C181" s="138"/>
      <c r="D181" s="135"/>
      <c r="E181" s="135"/>
      <c r="F181" s="138"/>
      <c r="G181" s="138"/>
      <c r="H181" s="138"/>
      <c r="I181" s="138"/>
      <c r="J181" s="135"/>
      <c r="K181" s="138"/>
      <c r="L181" s="138"/>
      <c r="M181" s="138"/>
      <c r="N181" s="138"/>
      <c r="O181" s="139"/>
      <c r="P181" s="135"/>
      <c r="Q181" s="135"/>
      <c r="R181" s="128"/>
    </row>
    <row r="182">
      <c r="A182" s="137"/>
      <c r="B182" s="135"/>
      <c r="C182" s="138"/>
      <c r="D182" s="135"/>
      <c r="E182" s="135"/>
      <c r="F182" s="138"/>
      <c r="G182" s="138"/>
      <c r="H182" s="138"/>
      <c r="I182" s="138"/>
      <c r="J182" s="135"/>
      <c r="K182" s="138"/>
      <c r="L182" s="138"/>
      <c r="M182" s="138"/>
      <c r="N182" s="138"/>
      <c r="O182" s="139"/>
      <c r="P182" s="135"/>
      <c r="Q182" s="135"/>
      <c r="R182" s="128"/>
    </row>
    <row r="183">
      <c r="A183" s="137"/>
      <c r="B183" s="135"/>
      <c r="C183" s="138"/>
      <c r="D183" s="135"/>
      <c r="E183" s="135"/>
      <c r="F183" s="138"/>
      <c r="G183" s="138"/>
      <c r="H183" s="138"/>
      <c r="I183" s="138"/>
      <c r="J183" s="135"/>
      <c r="K183" s="138"/>
      <c r="L183" s="138"/>
      <c r="M183" s="138"/>
      <c r="N183" s="138"/>
      <c r="O183" s="139"/>
      <c r="P183" s="135"/>
      <c r="Q183" s="135"/>
      <c r="R183" s="128"/>
    </row>
    <row r="184">
      <c r="A184" s="137"/>
      <c r="B184" s="135"/>
      <c r="C184" s="138"/>
      <c r="D184" s="135"/>
      <c r="E184" s="135"/>
      <c r="F184" s="138"/>
      <c r="G184" s="138"/>
      <c r="H184" s="138"/>
      <c r="I184" s="138"/>
      <c r="J184" s="135"/>
      <c r="K184" s="138"/>
      <c r="L184" s="138"/>
      <c r="M184" s="138"/>
      <c r="N184" s="138"/>
      <c r="O184" s="139"/>
      <c r="P184" s="135"/>
      <c r="Q184" s="135"/>
      <c r="R184" s="128"/>
    </row>
    <row r="185">
      <c r="A185" s="137"/>
      <c r="B185" s="135"/>
      <c r="C185" s="138"/>
      <c r="D185" s="135"/>
      <c r="E185" s="135"/>
      <c r="F185" s="138"/>
      <c r="G185" s="138"/>
      <c r="H185" s="138"/>
      <c r="I185" s="138"/>
      <c r="J185" s="135"/>
      <c r="K185" s="138"/>
      <c r="L185" s="138"/>
      <c r="M185" s="138"/>
      <c r="N185" s="138"/>
      <c r="O185" s="139"/>
      <c r="P185" s="135"/>
      <c r="Q185" s="135"/>
      <c r="R185" s="128"/>
    </row>
    <row r="186">
      <c r="A186" s="137"/>
      <c r="B186" s="135"/>
      <c r="C186" s="138"/>
      <c r="D186" s="135"/>
      <c r="E186" s="135"/>
      <c r="F186" s="138"/>
      <c r="G186" s="138"/>
      <c r="H186" s="138"/>
      <c r="I186" s="138"/>
      <c r="J186" s="135"/>
      <c r="K186" s="138"/>
      <c r="L186" s="138"/>
      <c r="M186" s="138"/>
      <c r="N186" s="138"/>
      <c r="O186" s="139"/>
      <c r="P186" s="135"/>
      <c r="Q186" s="135"/>
      <c r="R186" s="128"/>
    </row>
    <row r="187">
      <c r="A187" s="137"/>
      <c r="B187" s="135"/>
      <c r="C187" s="138"/>
      <c r="D187" s="135"/>
      <c r="E187" s="135"/>
      <c r="F187" s="138"/>
      <c r="G187" s="138"/>
      <c r="H187" s="138"/>
      <c r="I187" s="138"/>
      <c r="J187" s="135"/>
      <c r="K187" s="138"/>
      <c r="L187" s="138"/>
      <c r="M187" s="138"/>
      <c r="N187" s="138"/>
      <c r="O187" s="139"/>
      <c r="P187" s="135"/>
      <c r="Q187" s="135"/>
      <c r="R187" s="128"/>
    </row>
    <row r="188">
      <c r="A188" s="137"/>
      <c r="B188" s="135"/>
      <c r="C188" s="138"/>
      <c r="D188" s="135"/>
      <c r="E188" s="135"/>
      <c r="F188" s="138"/>
      <c r="G188" s="138"/>
      <c r="H188" s="138"/>
      <c r="I188" s="138"/>
      <c r="J188" s="135"/>
      <c r="K188" s="138"/>
      <c r="L188" s="138"/>
      <c r="M188" s="138"/>
      <c r="N188" s="138"/>
      <c r="O188" s="139"/>
      <c r="P188" s="135"/>
      <c r="Q188" s="135"/>
      <c r="R188" s="128"/>
    </row>
    <row r="189">
      <c r="A189" s="137"/>
      <c r="B189" s="135"/>
      <c r="C189" s="138"/>
      <c r="D189" s="135"/>
      <c r="E189" s="135"/>
      <c r="F189" s="138"/>
      <c r="G189" s="138"/>
      <c r="H189" s="138"/>
      <c r="I189" s="138"/>
      <c r="J189" s="135"/>
      <c r="K189" s="138"/>
      <c r="L189" s="138"/>
      <c r="M189" s="138"/>
      <c r="N189" s="138"/>
      <c r="O189" s="139"/>
      <c r="P189" s="135"/>
      <c r="Q189" s="135"/>
      <c r="R189" s="128"/>
    </row>
    <row r="190">
      <c r="A190" s="137"/>
      <c r="B190" s="135"/>
      <c r="C190" s="138"/>
      <c r="D190" s="135"/>
      <c r="E190" s="135"/>
      <c r="F190" s="138"/>
      <c r="G190" s="138"/>
      <c r="H190" s="138"/>
      <c r="I190" s="138"/>
      <c r="J190" s="135"/>
      <c r="K190" s="138"/>
      <c r="L190" s="138"/>
      <c r="M190" s="138"/>
      <c r="N190" s="138"/>
      <c r="O190" s="139"/>
      <c r="P190" s="135"/>
      <c r="Q190" s="135"/>
      <c r="R190" s="128"/>
    </row>
    <row r="191">
      <c r="A191" s="137"/>
      <c r="B191" s="135"/>
      <c r="C191" s="138"/>
      <c r="D191" s="135"/>
      <c r="E191" s="135"/>
      <c r="F191" s="138"/>
      <c r="G191" s="138"/>
      <c r="H191" s="138"/>
      <c r="I191" s="138"/>
      <c r="J191" s="135"/>
      <c r="K191" s="138"/>
      <c r="L191" s="138"/>
      <c r="M191" s="138"/>
      <c r="N191" s="138"/>
      <c r="O191" s="139"/>
      <c r="P191" s="135"/>
      <c r="Q191" s="135"/>
      <c r="R191" s="128"/>
    </row>
    <row r="192">
      <c r="A192" s="137"/>
      <c r="B192" s="135"/>
      <c r="C192" s="138"/>
      <c r="D192" s="135"/>
      <c r="E192" s="135"/>
      <c r="F192" s="138"/>
      <c r="G192" s="138"/>
      <c r="H192" s="138"/>
      <c r="I192" s="138"/>
      <c r="J192" s="135"/>
      <c r="K192" s="138"/>
      <c r="L192" s="138"/>
      <c r="M192" s="138"/>
      <c r="N192" s="138"/>
      <c r="O192" s="139"/>
      <c r="P192" s="135"/>
      <c r="Q192" s="135"/>
      <c r="R192" s="128"/>
    </row>
    <row r="193">
      <c r="A193" s="137"/>
      <c r="B193" s="135"/>
      <c r="C193" s="138"/>
      <c r="D193" s="135"/>
      <c r="E193" s="135"/>
      <c r="F193" s="138"/>
      <c r="G193" s="138"/>
      <c r="H193" s="138"/>
      <c r="I193" s="138"/>
      <c r="J193" s="135"/>
      <c r="K193" s="138"/>
      <c r="L193" s="138"/>
      <c r="M193" s="138"/>
      <c r="N193" s="138"/>
      <c r="O193" s="139"/>
      <c r="P193" s="135"/>
      <c r="Q193" s="135"/>
      <c r="R193" s="128"/>
    </row>
    <row r="194">
      <c r="A194" s="137"/>
      <c r="B194" s="135"/>
      <c r="C194" s="138"/>
      <c r="D194" s="135"/>
      <c r="E194" s="135"/>
      <c r="F194" s="138"/>
      <c r="G194" s="138"/>
      <c r="H194" s="138"/>
      <c r="I194" s="138"/>
      <c r="J194" s="135"/>
      <c r="K194" s="138"/>
      <c r="L194" s="138"/>
      <c r="M194" s="138"/>
      <c r="N194" s="138"/>
      <c r="O194" s="139"/>
      <c r="P194" s="135"/>
      <c r="Q194" s="135"/>
      <c r="R194" s="128"/>
    </row>
    <row r="195">
      <c r="A195" s="137"/>
      <c r="B195" s="135"/>
      <c r="C195" s="138"/>
      <c r="D195" s="135"/>
      <c r="E195" s="135"/>
      <c r="F195" s="138"/>
      <c r="G195" s="138"/>
      <c r="H195" s="138"/>
      <c r="I195" s="138"/>
      <c r="J195" s="135"/>
      <c r="K195" s="138"/>
      <c r="L195" s="138"/>
      <c r="M195" s="138"/>
      <c r="N195" s="138"/>
      <c r="O195" s="139"/>
      <c r="P195" s="135"/>
      <c r="Q195" s="135"/>
      <c r="R195" s="128"/>
    </row>
    <row r="196">
      <c r="A196" s="137"/>
      <c r="B196" s="135"/>
      <c r="C196" s="138"/>
      <c r="D196" s="135"/>
      <c r="E196" s="135"/>
      <c r="F196" s="138"/>
      <c r="G196" s="138"/>
      <c r="H196" s="138"/>
      <c r="I196" s="138"/>
      <c r="J196" s="135"/>
      <c r="K196" s="138"/>
      <c r="L196" s="138"/>
      <c r="M196" s="138"/>
      <c r="N196" s="138"/>
      <c r="O196" s="139"/>
      <c r="P196" s="135"/>
      <c r="Q196" s="135"/>
      <c r="R196" s="128"/>
    </row>
    <row r="197">
      <c r="A197" s="137"/>
      <c r="B197" s="135"/>
      <c r="C197" s="138"/>
      <c r="D197" s="135"/>
      <c r="E197" s="135"/>
      <c r="F197" s="138"/>
      <c r="G197" s="138"/>
      <c r="H197" s="138"/>
      <c r="I197" s="138"/>
      <c r="J197" s="135"/>
      <c r="K197" s="138"/>
      <c r="L197" s="138"/>
      <c r="M197" s="138"/>
      <c r="N197" s="138"/>
      <c r="O197" s="139"/>
      <c r="P197" s="135"/>
      <c r="Q197" s="135"/>
      <c r="R197" s="128"/>
    </row>
    <row r="198">
      <c r="A198" s="137"/>
      <c r="B198" s="135"/>
      <c r="C198" s="138"/>
      <c r="D198" s="135"/>
      <c r="E198" s="135"/>
      <c r="F198" s="138"/>
      <c r="G198" s="138"/>
      <c r="H198" s="138"/>
      <c r="I198" s="138"/>
      <c r="J198" s="135"/>
      <c r="K198" s="138"/>
      <c r="L198" s="138"/>
      <c r="M198" s="138"/>
      <c r="N198" s="138"/>
      <c r="O198" s="139"/>
      <c r="P198" s="135"/>
      <c r="Q198" s="135"/>
      <c r="R198" s="128"/>
    </row>
    <row r="199">
      <c r="A199" s="137"/>
      <c r="B199" s="135"/>
      <c r="C199" s="138"/>
      <c r="D199" s="135"/>
      <c r="E199" s="135"/>
      <c r="F199" s="138"/>
      <c r="G199" s="138"/>
      <c r="H199" s="138"/>
      <c r="I199" s="138"/>
      <c r="J199" s="135"/>
      <c r="K199" s="138"/>
      <c r="L199" s="138"/>
      <c r="M199" s="138"/>
      <c r="N199" s="138"/>
      <c r="O199" s="139"/>
      <c r="P199" s="135"/>
      <c r="Q199" s="135"/>
      <c r="R199" s="128"/>
    </row>
    <row r="200">
      <c r="A200" s="137"/>
      <c r="B200" s="135"/>
      <c r="C200" s="138"/>
      <c r="D200" s="135"/>
      <c r="E200" s="135"/>
      <c r="F200" s="138"/>
      <c r="G200" s="138"/>
      <c r="H200" s="138"/>
      <c r="I200" s="138"/>
      <c r="J200" s="135"/>
      <c r="K200" s="138"/>
      <c r="L200" s="138"/>
      <c r="M200" s="138"/>
      <c r="N200" s="138"/>
      <c r="O200" s="139"/>
      <c r="P200" s="135"/>
      <c r="Q200" s="135"/>
      <c r="R200" s="128"/>
    </row>
    <row r="201">
      <c r="A201" s="137"/>
      <c r="B201" s="135"/>
      <c r="C201" s="138"/>
      <c r="D201" s="135"/>
      <c r="E201" s="135"/>
      <c r="F201" s="138"/>
      <c r="G201" s="138"/>
      <c r="H201" s="138"/>
      <c r="I201" s="138"/>
      <c r="J201" s="135"/>
      <c r="K201" s="138"/>
      <c r="L201" s="138"/>
      <c r="M201" s="138"/>
      <c r="N201" s="138"/>
      <c r="O201" s="139"/>
      <c r="P201" s="135"/>
      <c r="Q201" s="135"/>
      <c r="R201" s="128"/>
    </row>
    <row r="202">
      <c r="A202" s="137"/>
      <c r="B202" s="135"/>
      <c r="C202" s="138"/>
      <c r="D202" s="135"/>
      <c r="E202" s="135"/>
      <c r="F202" s="138"/>
      <c r="G202" s="138"/>
      <c r="H202" s="138"/>
      <c r="I202" s="138"/>
      <c r="J202" s="135"/>
      <c r="K202" s="138"/>
      <c r="L202" s="138"/>
      <c r="M202" s="138"/>
      <c r="N202" s="138"/>
      <c r="O202" s="139"/>
      <c r="P202" s="135"/>
      <c r="Q202" s="135"/>
      <c r="R202" s="128"/>
    </row>
    <row r="203">
      <c r="A203" s="137"/>
      <c r="B203" s="135"/>
      <c r="C203" s="138"/>
      <c r="D203" s="135"/>
      <c r="E203" s="135"/>
      <c r="F203" s="138"/>
      <c r="G203" s="138"/>
      <c r="H203" s="138"/>
      <c r="I203" s="138"/>
      <c r="J203" s="135"/>
      <c r="K203" s="138"/>
      <c r="L203" s="138"/>
      <c r="M203" s="138"/>
      <c r="N203" s="138"/>
      <c r="O203" s="139"/>
      <c r="P203" s="135"/>
      <c r="Q203" s="135"/>
      <c r="R203" s="128"/>
    </row>
    <row r="204">
      <c r="A204" s="137"/>
      <c r="B204" s="135"/>
      <c r="C204" s="138"/>
      <c r="D204" s="135"/>
      <c r="E204" s="135"/>
      <c r="F204" s="138"/>
      <c r="G204" s="138"/>
      <c r="H204" s="138"/>
      <c r="I204" s="138"/>
      <c r="J204" s="135"/>
      <c r="K204" s="138"/>
      <c r="L204" s="138"/>
      <c r="M204" s="138"/>
      <c r="N204" s="138"/>
      <c r="O204" s="139"/>
      <c r="P204" s="135"/>
      <c r="Q204" s="135"/>
      <c r="R204" s="128"/>
    </row>
    <row r="205">
      <c r="A205" s="137"/>
      <c r="B205" s="135"/>
      <c r="C205" s="138"/>
      <c r="D205" s="135"/>
      <c r="E205" s="135"/>
      <c r="F205" s="138"/>
      <c r="G205" s="138"/>
      <c r="H205" s="138"/>
      <c r="I205" s="138"/>
      <c r="J205" s="135"/>
      <c r="K205" s="138"/>
      <c r="L205" s="138"/>
      <c r="M205" s="138"/>
      <c r="N205" s="138"/>
      <c r="O205" s="139"/>
      <c r="P205" s="135"/>
      <c r="Q205" s="135"/>
      <c r="R205" s="128"/>
    </row>
    <row r="206">
      <c r="A206" s="137"/>
      <c r="B206" s="135"/>
      <c r="C206" s="138"/>
      <c r="D206" s="135"/>
      <c r="E206" s="135"/>
      <c r="F206" s="138"/>
      <c r="G206" s="138"/>
      <c r="H206" s="138"/>
      <c r="I206" s="138"/>
      <c r="J206" s="135"/>
      <c r="K206" s="138"/>
      <c r="L206" s="138"/>
      <c r="M206" s="138"/>
      <c r="N206" s="138"/>
      <c r="O206" s="139"/>
      <c r="P206" s="135"/>
      <c r="Q206" s="135"/>
      <c r="R206" s="128"/>
    </row>
    <row r="207">
      <c r="A207" s="137"/>
      <c r="B207" s="135"/>
      <c r="C207" s="138"/>
      <c r="D207" s="135"/>
      <c r="E207" s="135"/>
      <c r="F207" s="138"/>
      <c r="G207" s="138"/>
      <c r="H207" s="138"/>
      <c r="I207" s="138"/>
      <c r="J207" s="135"/>
      <c r="K207" s="138"/>
      <c r="L207" s="138"/>
      <c r="M207" s="138"/>
      <c r="N207" s="138"/>
      <c r="O207" s="139"/>
      <c r="P207" s="135"/>
      <c r="Q207" s="135"/>
      <c r="R207" s="128"/>
    </row>
    <row r="208">
      <c r="A208" s="137"/>
      <c r="B208" s="135"/>
      <c r="C208" s="138"/>
      <c r="D208" s="135"/>
      <c r="E208" s="135"/>
      <c r="F208" s="138"/>
      <c r="G208" s="138"/>
      <c r="H208" s="138"/>
      <c r="I208" s="138"/>
      <c r="J208" s="135"/>
      <c r="K208" s="138"/>
      <c r="L208" s="138"/>
      <c r="M208" s="138"/>
      <c r="N208" s="138"/>
      <c r="O208" s="139"/>
      <c r="P208" s="135"/>
      <c r="Q208" s="135"/>
      <c r="R208" s="128"/>
    </row>
    <row r="209">
      <c r="A209" s="137"/>
      <c r="B209" s="135"/>
      <c r="C209" s="138"/>
      <c r="D209" s="135"/>
      <c r="E209" s="135"/>
      <c r="F209" s="138"/>
      <c r="G209" s="138"/>
      <c r="H209" s="138"/>
      <c r="I209" s="138"/>
      <c r="J209" s="135"/>
      <c r="K209" s="138"/>
      <c r="L209" s="138"/>
      <c r="M209" s="138"/>
      <c r="N209" s="138"/>
      <c r="O209" s="139"/>
      <c r="P209" s="135"/>
      <c r="Q209" s="135"/>
      <c r="R209" s="128"/>
    </row>
    <row r="210">
      <c r="A210" s="137"/>
      <c r="B210" s="135"/>
      <c r="C210" s="138"/>
      <c r="D210" s="135"/>
      <c r="E210" s="135"/>
      <c r="F210" s="138"/>
      <c r="G210" s="138"/>
      <c r="H210" s="138"/>
      <c r="I210" s="138"/>
      <c r="J210" s="135"/>
      <c r="K210" s="138"/>
      <c r="L210" s="138"/>
      <c r="M210" s="138"/>
      <c r="N210" s="138"/>
      <c r="O210" s="139"/>
      <c r="P210" s="135"/>
      <c r="Q210" s="135"/>
      <c r="R210" s="128"/>
    </row>
    <row r="211">
      <c r="A211" s="137"/>
      <c r="B211" s="135"/>
      <c r="C211" s="138"/>
      <c r="D211" s="135"/>
      <c r="E211" s="135"/>
      <c r="F211" s="138"/>
      <c r="G211" s="138"/>
      <c r="H211" s="138"/>
      <c r="I211" s="138"/>
      <c r="J211" s="135"/>
      <c r="K211" s="138"/>
      <c r="L211" s="138"/>
      <c r="M211" s="138"/>
      <c r="N211" s="138"/>
      <c r="O211" s="139"/>
      <c r="P211" s="135"/>
      <c r="Q211" s="135"/>
      <c r="R211" s="128"/>
    </row>
    <row r="212">
      <c r="A212" s="137"/>
      <c r="B212" s="135"/>
      <c r="C212" s="138"/>
      <c r="D212" s="135"/>
      <c r="E212" s="135"/>
      <c r="F212" s="138"/>
      <c r="G212" s="138"/>
      <c r="H212" s="138"/>
      <c r="I212" s="138"/>
      <c r="J212" s="135"/>
      <c r="K212" s="138"/>
      <c r="L212" s="138"/>
      <c r="M212" s="138"/>
      <c r="N212" s="138"/>
      <c r="O212" s="139"/>
      <c r="P212" s="135"/>
      <c r="Q212" s="135"/>
      <c r="R212" s="128"/>
    </row>
    <row r="213">
      <c r="A213" s="137"/>
      <c r="B213" s="135"/>
      <c r="C213" s="138"/>
      <c r="D213" s="135"/>
      <c r="E213" s="135"/>
      <c r="F213" s="138"/>
      <c r="G213" s="138"/>
      <c r="H213" s="138"/>
      <c r="I213" s="138"/>
      <c r="J213" s="135"/>
      <c r="K213" s="138"/>
      <c r="L213" s="138"/>
      <c r="M213" s="138"/>
      <c r="N213" s="138"/>
      <c r="O213" s="139"/>
      <c r="P213" s="135"/>
      <c r="Q213" s="135"/>
      <c r="R213" s="128"/>
    </row>
    <row r="214">
      <c r="A214" s="137"/>
      <c r="B214" s="135"/>
      <c r="C214" s="138"/>
      <c r="D214" s="135"/>
      <c r="E214" s="135"/>
      <c r="F214" s="138"/>
      <c r="G214" s="138"/>
      <c r="H214" s="138"/>
      <c r="I214" s="138"/>
      <c r="J214" s="135"/>
      <c r="K214" s="138"/>
      <c r="L214" s="138"/>
      <c r="M214" s="138"/>
      <c r="N214" s="138"/>
      <c r="O214" s="139"/>
      <c r="P214" s="135"/>
      <c r="Q214" s="135"/>
      <c r="R214" s="128"/>
    </row>
    <row r="215">
      <c r="A215" s="137"/>
      <c r="B215" s="135"/>
      <c r="C215" s="138"/>
      <c r="D215" s="135"/>
      <c r="E215" s="135"/>
      <c r="F215" s="138"/>
      <c r="G215" s="138"/>
      <c r="H215" s="138"/>
      <c r="I215" s="138"/>
      <c r="J215" s="135"/>
      <c r="K215" s="138"/>
      <c r="L215" s="138"/>
      <c r="M215" s="138"/>
      <c r="N215" s="138"/>
      <c r="O215" s="139"/>
      <c r="P215" s="135"/>
      <c r="Q215" s="135"/>
      <c r="R215" s="128"/>
    </row>
    <row r="216">
      <c r="A216" s="137"/>
      <c r="B216" s="135"/>
      <c r="C216" s="138"/>
      <c r="D216" s="135"/>
      <c r="E216" s="135"/>
      <c r="F216" s="138"/>
      <c r="G216" s="138"/>
      <c r="H216" s="138"/>
      <c r="I216" s="138"/>
      <c r="J216" s="135"/>
      <c r="K216" s="138"/>
      <c r="L216" s="138"/>
      <c r="M216" s="138"/>
      <c r="N216" s="138"/>
      <c r="O216" s="139"/>
      <c r="P216" s="135"/>
      <c r="Q216" s="135"/>
      <c r="R216" s="128"/>
    </row>
    <row r="217">
      <c r="A217" s="137"/>
      <c r="B217" s="135"/>
      <c r="C217" s="138"/>
      <c r="D217" s="135"/>
      <c r="E217" s="135"/>
      <c r="F217" s="138"/>
      <c r="G217" s="138"/>
      <c r="H217" s="138"/>
      <c r="I217" s="138"/>
      <c r="J217" s="135"/>
      <c r="K217" s="138"/>
      <c r="L217" s="138"/>
      <c r="M217" s="138"/>
      <c r="N217" s="138"/>
      <c r="O217" s="139"/>
      <c r="P217" s="135"/>
      <c r="Q217" s="135"/>
      <c r="R217" s="128"/>
    </row>
    <row r="218">
      <c r="A218" s="137"/>
      <c r="B218" s="135"/>
      <c r="C218" s="138"/>
      <c r="D218" s="135"/>
      <c r="E218" s="135"/>
      <c r="F218" s="138"/>
      <c r="G218" s="138"/>
      <c r="H218" s="138"/>
      <c r="I218" s="138"/>
      <c r="J218" s="135"/>
      <c r="K218" s="138"/>
      <c r="L218" s="138"/>
      <c r="M218" s="138"/>
      <c r="N218" s="138"/>
      <c r="O218" s="139"/>
      <c r="P218" s="135"/>
      <c r="Q218" s="135"/>
      <c r="R218" s="128"/>
    </row>
    <row r="219">
      <c r="A219" s="137"/>
      <c r="B219" s="135"/>
      <c r="C219" s="138"/>
      <c r="D219" s="135"/>
      <c r="E219" s="135"/>
      <c r="F219" s="138"/>
      <c r="G219" s="138"/>
      <c r="H219" s="138"/>
      <c r="I219" s="138"/>
      <c r="J219" s="135"/>
      <c r="K219" s="138"/>
      <c r="L219" s="138"/>
      <c r="M219" s="138"/>
      <c r="N219" s="138"/>
      <c r="O219" s="139"/>
      <c r="P219" s="135"/>
      <c r="Q219" s="135"/>
      <c r="R219" s="128"/>
    </row>
    <row r="220">
      <c r="A220" s="137"/>
      <c r="B220" s="135"/>
      <c r="C220" s="138"/>
      <c r="D220" s="135"/>
      <c r="E220" s="135"/>
      <c r="F220" s="138"/>
      <c r="G220" s="138"/>
      <c r="H220" s="138"/>
      <c r="I220" s="138"/>
      <c r="J220" s="135"/>
      <c r="K220" s="138"/>
      <c r="L220" s="138"/>
      <c r="M220" s="138"/>
      <c r="N220" s="138"/>
      <c r="O220" s="139"/>
      <c r="P220" s="135"/>
      <c r="Q220" s="135"/>
      <c r="R220" s="128"/>
    </row>
    <row r="221">
      <c r="A221" s="137"/>
      <c r="B221" s="135"/>
      <c r="C221" s="138"/>
      <c r="D221" s="135"/>
      <c r="E221" s="135"/>
      <c r="F221" s="138"/>
      <c r="G221" s="138"/>
      <c r="H221" s="138"/>
      <c r="I221" s="138"/>
      <c r="J221" s="135"/>
      <c r="K221" s="138"/>
      <c r="L221" s="138"/>
      <c r="M221" s="138"/>
      <c r="N221" s="138"/>
      <c r="O221" s="139"/>
      <c r="P221" s="135"/>
      <c r="Q221" s="135"/>
      <c r="R221" s="128"/>
    </row>
    <row r="222">
      <c r="A222" s="137"/>
      <c r="B222" s="135"/>
      <c r="C222" s="138"/>
      <c r="D222" s="135"/>
      <c r="E222" s="135"/>
      <c r="F222" s="138"/>
      <c r="G222" s="138"/>
      <c r="H222" s="138"/>
      <c r="I222" s="138"/>
      <c r="J222" s="135"/>
      <c r="K222" s="138"/>
      <c r="L222" s="138"/>
      <c r="M222" s="138"/>
      <c r="N222" s="138"/>
      <c r="O222" s="139"/>
      <c r="P222" s="135"/>
      <c r="Q222" s="135"/>
      <c r="R222" s="128"/>
    </row>
    <row r="223">
      <c r="A223" s="137"/>
      <c r="B223" s="135"/>
      <c r="C223" s="138"/>
      <c r="D223" s="135"/>
      <c r="E223" s="135"/>
      <c r="F223" s="138"/>
      <c r="G223" s="138"/>
      <c r="H223" s="138"/>
      <c r="I223" s="138"/>
      <c r="J223" s="135"/>
      <c r="K223" s="138"/>
      <c r="L223" s="138"/>
      <c r="M223" s="138"/>
      <c r="N223" s="138"/>
      <c r="O223" s="139"/>
      <c r="P223" s="135"/>
      <c r="Q223" s="135"/>
      <c r="R223" s="128"/>
    </row>
    <row r="224">
      <c r="A224" s="137"/>
      <c r="B224" s="135"/>
      <c r="C224" s="138"/>
      <c r="D224" s="135"/>
      <c r="E224" s="135"/>
      <c r="F224" s="138"/>
      <c r="G224" s="138"/>
      <c r="H224" s="138"/>
      <c r="I224" s="138"/>
      <c r="J224" s="135"/>
      <c r="K224" s="138"/>
      <c r="L224" s="138"/>
      <c r="M224" s="138"/>
      <c r="N224" s="138"/>
      <c r="O224" s="139"/>
      <c r="P224" s="135"/>
      <c r="Q224" s="135"/>
      <c r="R224" s="128"/>
    </row>
    <row r="225">
      <c r="A225" s="137"/>
      <c r="B225" s="135"/>
      <c r="C225" s="138"/>
      <c r="D225" s="135"/>
      <c r="E225" s="135"/>
      <c r="F225" s="138"/>
      <c r="G225" s="138"/>
      <c r="H225" s="138"/>
      <c r="I225" s="138"/>
      <c r="J225" s="135"/>
      <c r="K225" s="138"/>
      <c r="L225" s="138"/>
      <c r="M225" s="138"/>
      <c r="N225" s="138"/>
      <c r="O225" s="139"/>
      <c r="P225" s="135"/>
      <c r="Q225" s="135"/>
      <c r="R225" s="128"/>
    </row>
    <row r="226">
      <c r="A226" s="137"/>
      <c r="B226" s="135"/>
      <c r="C226" s="138"/>
      <c r="D226" s="135"/>
      <c r="E226" s="135"/>
      <c r="F226" s="138"/>
      <c r="G226" s="138"/>
      <c r="H226" s="138"/>
      <c r="I226" s="138"/>
      <c r="J226" s="135"/>
      <c r="K226" s="138"/>
      <c r="L226" s="138"/>
      <c r="M226" s="138"/>
      <c r="N226" s="138"/>
      <c r="O226" s="139"/>
      <c r="P226" s="135"/>
      <c r="Q226" s="135"/>
      <c r="R226" s="128"/>
    </row>
    <row r="227">
      <c r="A227" s="137"/>
      <c r="B227" s="135"/>
      <c r="C227" s="138"/>
      <c r="D227" s="135"/>
      <c r="E227" s="135"/>
      <c r="F227" s="138"/>
      <c r="G227" s="138"/>
      <c r="H227" s="138"/>
      <c r="I227" s="138"/>
      <c r="J227" s="135"/>
      <c r="K227" s="138"/>
      <c r="L227" s="138"/>
      <c r="M227" s="138"/>
      <c r="N227" s="138"/>
      <c r="O227" s="139"/>
      <c r="P227" s="135"/>
      <c r="Q227" s="135"/>
      <c r="R227" s="128"/>
    </row>
    <row r="228">
      <c r="A228" s="137"/>
      <c r="B228" s="135"/>
      <c r="C228" s="138"/>
      <c r="D228" s="135"/>
      <c r="E228" s="135"/>
      <c r="F228" s="138"/>
      <c r="G228" s="138"/>
      <c r="H228" s="138"/>
      <c r="I228" s="138"/>
      <c r="J228" s="135"/>
      <c r="K228" s="138"/>
      <c r="L228" s="138"/>
      <c r="M228" s="138"/>
      <c r="N228" s="138"/>
      <c r="O228" s="139"/>
      <c r="P228" s="135"/>
      <c r="Q228" s="135"/>
      <c r="R228" s="128"/>
    </row>
    <row r="229">
      <c r="A229" s="137"/>
      <c r="B229" s="135"/>
      <c r="C229" s="138"/>
      <c r="D229" s="135"/>
      <c r="E229" s="135"/>
      <c r="F229" s="138"/>
      <c r="G229" s="138"/>
      <c r="H229" s="138"/>
      <c r="I229" s="138"/>
      <c r="J229" s="135"/>
      <c r="K229" s="138"/>
      <c r="L229" s="138"/>
      <c r="M229" s="138"/>
      <c r="N229" s="138"/>
      <c r="O229" s="139"/>
      <c r="P229" s="135"/>
      <c r="Q229" s="135"/>
      <c r="R229" s="128"/>
    </row>
    <row r="230">
      <c r="A230" s="137"/>
      <c r="B230" s="135"/>
      <c r="C230" s="138"/>
      <c r="D230" s="135"/>
      <c r="E230" s="135"/>
      <c r="F230" s="138"/>
      <c r="G230" s="138"/>
      <c r="H230" s="138"/>
      <c r="I230" s="138"/>
      <c r="J230" s="135"/>
      <c r="K230" s="138"/>
      <c r="L230" s="138"/>
      <c r="M230" s="138"/>
      <c r="N230" s="138"/>
      <c r="O230" s="139"/>
      <c r="P230" s="135"/>
      <c r="Q230" s="135"/>
      <c r="R230" s="128"/>
    </row>
    <row r="231">
      <c r="A231" s="137"/>
      <c r="B231" s="135"/>
      <c r="C231" s="138"/>
      <c r="D231" s="135"/>
      <c r="E231" s="135"/>
      <c r="F231" s="138"/>
      <c r="G231" s="138"/>
      <c r="H231" s="138"/>
      <c r="I231" s="138"/>
      <c r="J231" s="135"/>
      <c r="K231" s="138"/>
      <c r="L231" s="138"/>
      <c r="M231" s="138"/>
      <c r="N231" s="138"/>
      <c r="O231" s="139"/>
      <c r="P231" s="135"/>
      <c r="Q231" s="135"/>
      <c r="R231" s="128"/>
    </row>
    <row r="232">
      <c r="A232" s="137"/>
      <c r="B232" s="135"/>
      <c r="C232" s="138"/>
      <c r="D232" s="135"/>
      <c r="E232" s="135"/>
      <c r="F232" s="138"/>
      <c r="G232" s="138"/>
      <c r="H232" s="138"/>
      <c r="I232" s="138"/>
      <c r="J232" s="135"/>
      <c r="K232" s="138"/>
      <c r="L232" s="138"/>
      <c r="M232" s="138"/>
      <c r="N232" s="138"/>
      <c r="O232" s="139"/>
      <c r="P232" s="135"/>
      <c r="Q232" s="135"/>
      <c r="R232" s="128"/>
    </row>
    <row r="233">
      <c r="A233" s="137"/>
      <c r="B233" s="135"/>
      <c r="C233" s="138"/>
      <c r="D233" s="135"/>
      <c r="E233" s="135"/>
      <c r="F233" s="138"/>
      <c r="G233" s="138"/>
      <c r="H233" s="138"/>
      <c r="I233" s="138"/>
      <c r="J233" s="135"/>
      <c r="K233" s="138"/>
      <c r="L233" s="138"/>
      <c r="M233" s="138"/>
      <c r="N233" s="138"/>
      <c r="O233" s="139"/>
      <c r="P233" s="135"/>
      <c r="Q233" s="135"/>
      <c r="R233" s="128"/>
    </row>
    <row r="234">
      <c r="A234" s="137"/>
      <c r="B234" s="135"/>
      <c r="C234" s="138"/>
      <c r="D234" s="135"/>
      <c r="E234" s="135"/>
      <c r="F234" s="138"/>
      <c r="G234" s="138"/>
      <c r="H234" s="138"/>
      <c r="I234" s="138"/>
      <c r="J234" s="135"/>
      <c r="K234" s="138"/>
      <c r="L234" s="138"/>
      <c r="M234" s="138"/>
      <c r="N234" s="138"/>
      <c r="O234" s="139"/>
      <c r="P234" s="135"/>
      <c r="Q234" s="135"/>
      <c r="R234" s="128"/>
    </row>
    <row r="235">
      <c r="A235" s="137"/>
      <c r="B235" s="135"/>
      <c r="C235" s="138"/>
      <c r="D235" s="135"/>
      <c r="E235" s="135"/>
      <c r="F235" s="138"/>
      <c r="G235" s="138"/>
      <c r="H235" s="138"/>
      <c r="I235" s="138"/>
      <c r="J235" s="135"/>
      <c r="K235" s="138"/>
      <c r="L235" s="138"/>
      <c r="M235" s="138"/>
      <c r="N235" s="138"/>
      <c r="O235" s="139"/>
      <c r="P235" s="135"/>
      <c r="Q235" s="135"/>
      <c r="R235" s="128"/>
    </row>
    <row r="236">
      <c r="A236" s="137"/>
      <c r="B236" s="135"/>
      <c r="C236" s="138"/>
      <c r="D236" s="135"/>
      <c r="E236" s="135"/>
      <c r="F236" s="138"/>
      <c r="G236" s="138"/>
      <c r="H236" s="138"/>
      <c r="I236" s="138"/>
      <c r="J236" s="135"/>
      <c r="K236" s="138"/>
      <c r="L236" s="138"/>
      <c r="M236" s="138"/>
      <c r="N236" s="138"/>
      <c r="O236" s="139"/>
      <c r="P236" s="135"/>
      <c r="Q236" s="135"/>
      <c r="R236" s="128"/>
    </row>
    <row r="237">
      <c r="A237" s="137"/>
      <c r="B237" s="135"/>
      <c r="C237" s="138"/>
      <c r="D237" s="135"/>
      <c r="E237" s="135"/>
      <c r="F237" s="138"/>
      <c r="G237" s="138"/>
      <c r="H237" s="138"/>
      <c r="I237" s="138"/>
      <c r="J237" s="135"/>
      <c r="K237" s="138"/>
      <c r="L237" s="138"/>
      <c r="M237" s="138"/>
      <c r="N237" s="138"/>
      <c r="O237" s="139"/>
      <c r="P237" s="135"/>
      <c r="Q237" s="135"/>
      <c r="R237" s="128"/>
    </row>
    <row r="238">
      <c r="A238" s="137"/>
      <c r="B238" s="135"/>
      <c r="C238" s="138"/>
      <c r="D238" s="135"/>
      <c r="E238" s="135"/>
      <c r="F238" s="138"/>
      <c r="G238" s="138"/>
      <c r="H238" s="138"/>
      <c r="I238" s="138"/>
      <c r="J238" s="135"/>
      <c r="K238" s="138"/>
      <c r="L238" s="138"/>
      <c r="M238" s="138"/>
      <c r="N238" s="138"/>
      <c r="O238" s="139"/>
      <c r="P238" s="135"/>
      <c r="Q238" s="135"/>
      <c r="R238" s="128"/>
    </row>
    <row r="239">
      <c r="A239" s="137"/>
      <c r="B239" s="135"/>
      <c r="C239" s="138"/>
      <c r="D239" s="135"/>
      <c r="E239" s="135"/>
      <c r="F239" s="138"/>
      <c r="G239" s="138"/>
      <c r="H239" s="138"/>
      <c r="I239" s="138"/>
      <c r="J239" s="135"/>
      <c r="K239" s="138"/>
      <c r="L239" s="138"/>
      <c r="M239" s="138"/>
      <c r="N239" s="138"/>
      <c r="O239" s="139"/>
      <c r="P239" s="135"/>
      <c r="Q239" s="135"/>
      <c r="R239" s="128"/>
    </row>
    <row r="240">
      <c r="A240" s="137"/>
      <c r="B240" s="135"/>
      <c r="C240" s="138"/>
      <c r="D240" s="135"/>
      <c r="E240" s="135"/>
      <c r="F240" s="138"/>
      <c r="G240" s="138"/>
      <c r="H240" s="138"/>
      <c r="I240" s="138"/>
      <c r="J240" s="135"/>
      <c r="K240" s="138"/>
      <c r="L240" s="138"/>
      <c r="M240" s="138"/>
      <c r="N240" s="138"/>
      <c r="O240" s="139"/>
      <c r="P240" s="135"/>
      <c r="Q240" s="135"/>
      <c r="R240" s="128"/>
    </row>
    <row r="241">
      <c r="A241" s="137"/>
      <c r="B241" s="135"/>
      <c r="C241" s="138"/>
      <c r="D241" s="135"/>
      <c r="E241" s="135"/>
      <c r="F241" s="138"/>
      <c r="G241" s="138"/>
      <c r="H241" s="138"/>
      <c r="I241" s="138"/>
      <c r="J241" s="135"/>
      <c r="K241" s="138"/>
      <c r="L241" s="138"/>
      <c r="M241" s="138"/>
      <c r="N241" s="138"/>
      <c r="O241" s="139"/>
      <c r="P241" s="135"/>
      <c r="Q241" s="135"/>
      <c r="R241" s="128"/>
    </row>
    <row r="242">
      <c r="A242" s="137"/>
      <c r="B242" s="135"/>
      <c r="C242" s="138"/>
      <c r="D242" s="135"/>
      <c r="E242" s="135"/>
      <c r="F242" s="138"/>
      <c r="G242" s="138"/>
      <c r="H242" s="138"/>
      <c r="I242" s="138"/>
      <c r="J242" s="135"/>
      <c r="K242" s="138"/>
      <c r="L242" s="138"/>
      <c r="M242" s="138"/>
      <c r="N242" s="138"/>
      <c r="O242" s="139"/>
      <c r="P242" s="135"/>
      <c r="Q242" s="135"/>
      <c r="R242" s="128"/>
    </row>
    <row r="243">
      <c r="A243" s="137"/>
      <c r="B243" s="135"/>
      <c r="C243" s="138"/>
      <c r="D243" s="135"/>
      <c r="E243" s="135"/>
      <c r="F243" s="138"/>
      <c r="G243" s="138"/>
      <c r="H243" s="138"/>
      <c r="I243" s="138"/>
      <c r="J243" s="135"/>
      <c r="K243" s="138"/>
      <c r="L243" s="138"/>
      <c r="M243" s="138"/>
      <c r="N243" s="138"/>
      <c r="O243" s="139"/>
      <c r="P243" s="135"/>
      <c r="Q243" s="135"/>
      <c r="R243" s="128"/>
    </row>
    <row r="244">
      <c r="A244" s="137"/>
      <c r="B244" s="135"/>
      <c r="C244" s="138"/>
      <c r="D244" s="135"/>
      <c r="E244" s="135"/>
      <c r="F244" s="138"/>
      <c r="G244" s="138"/>
      <c r="H244" s="138"/>
      <c r="I244" s="138"/>
      <c r="J244" s="135"/>
      <c r="K244" s="138"/>
      <c r="L244" s="138"/>
      <c r="M244" s="138"/>
      <c r="N244" s="138"/>
      <c r="O244" s="139"/>
      <c r="P244" s="135"/>
      <c r="Q244" s="135"/>
      <c r="R244" s="128"/>
    </row>
    <row r="245">
      <c r="A245" s="137"/>
      <c r="B245" s="135"/>
      <c r="C245" s="138"/>
      <c r="D245" s="135"/>
      <c r="E245" s="135"/>
      <c r="F245" s="138"/>
      <c r="G245" s="138"/>
      <c r="H245" s="138"/>
      <c r="I245" s="138"/>
      <c r="J245" s="135"/>
      <c r="K245" s="138"/>
      <c r="L245" s="138"/>
      <c r="M245" s="138"/>
      <c r="N245" s="138"/>
      <c r="O245" s="139"/>
      <c r="P245" s="135"/>
      <c r="Q245" s="135"/>
      <c r="R245" s="128"/>
    </row>
    <row r="246">
      <c r="A246" s="137"/>
      <c r="B246" s="135"/>
      <c r="C246" s="138"/>
      <c r="D246" s="135"/>
      <c r="E246" s="135"/>
      <c r="F246" s="138"/>
      <c r="G246" s="138"/>
      <c r="H246" s="138"/>
      <c r="I246" s="138"/>
      <c r="J246" s="135"/>
      <c r="K246" s="138"/>
      <c r="L246" s="138"/>
      <c r="M246" s="138"/>
      <c r="N246" s="138"/>
      <c r="O246" s="139"/>
      <c r="P246" s="135"/>
      <c r="Q246" s="135"/>
      <c r="R246" s="128"/>
    </row>
    <row r="247">
      <c r="A247" s="137"/>
      <c r="B247" s="135"/>
      <c r="C247" s="138"/>
      <c r="D247" s="135"/>
      <c r="E247" s="135"/>
      <c r="F247" s="138"/>
      <c r="G247" s="138"/>
      <c r="H247" s="138"/>
      <c r="I247" s="138"/>
      <c r="J247" s="135"/>
      <c r="K247" s="138"/>
      <c r="L247" s="138"/>
      <c r="M247" s="138"/>
      <c r="N247" s="138"/>
      <c r="O247" s="139"/>
      <c r="P247" s="135"/>
      <c r="Q247" s="135"/>
      <c r="R247" s="128"/>
    </row>
    <row r="248">
      <c r="A248" s="137"/>
      <c r="B248" s="135"/>
      <c r="C248" s="138"/>
      <c r="D248" s="135"/>
      <c r="E248" s="135"/>
      <c r="F248" s="138"/>
      <c r="G248" s="138"/>
      <c r="H248" s="138"/>
      <c r="I248" s="138"/>
      <c r="J248" s="135"/>
      <c r="K248" s="138"/>
      <c r="L248" s="138"/>
      <c r="M248" s="138"/>
      <c r="N248" s="138"/>
      <c r="O248" s="139"/>
      <c r="P248" s="135"/>
      <c r="Q248" s="135"/>
      <c r="R248" s="128"/>
    </row>
    <row r="249">
      <c r="A249" s="137"/>
      <c r="B249" s="135"/>
      <c r="C249" s="138"/>
      <c r="D249" s="135"/>
      <c r="E249" s="135"/>
      <c r="F249" s="138"/>
      <c r="G249" s="138"/>
      <c r="H249" s="138"/>
      <c r="I249" s="138"/>
      <c r="J249" s="135"/>
      <c r="K249" s="138"/>
      <c r="L249" s="138"/>
      <c r="M249" s="138"/>
      <c r="N249" s="138"/>
      <c r="O249" s="139"/>
      <c r="P249" s="135"/>
      <c r="Q249" s="135"/>
      <c r="R249" s="128"/>
    </row>
    <row r="250">
      <c r="A250" s="137"/>
      <c r="B250" s="135"/>
      <c r="C250" s="138"/>
      <c r="D250" s="135"/>
      <c r="E250" s="135"/>
      <c r="F250" s="138"/>
      <c r="G250" s="138"/>
      <c r="H250" s="138"/>
      <c r="I250" s="138"/>
      <c r="J250" s="135"/>
      <c r="K250" s="138"/>
      <c r="L250" s="138"/>
      <c r="M250" s="138"/>
      <c r="N250" s="138"/>
      <c r="O250" s="139"/>
      <c r="P250" s="135"/>
      <c r="Q250" s="135"/>
      <c r="R250" s="128"/>
    </row>
    <row r="251">
      <c r="A251" s="137"/>
      <c r="B251" s="135"/>
      <c r="C251" s="138"/>
      <c r="D251" s="135"/>
      <c r="E251" s="135"/>
      <c r="F251" s="138"/>
      <c r="G251" s="138"/>
      <c r="H251" s="138"/>
      <c r="I251" s="138"/>
      <c r="J251" s="135"/>
      <c r="K251" s="138"/>
      <c r="L251" s="138"/>
      <c r="M251" s="138"/>
      <c r="N251" s="138"/>
      <c r="O251" s="139"/>
      <c r="P251" s="135"/>
      <c r="Q251" s="135"/>
      <c r="R251" s="128"/>
    </row>
    <row r="252">
      <c r="A252" s="137"/>
      <c r="B252" s="135"/>
      <c r="C252" s="138"/>
      <c r="D252" s="135"/>
      <c r="E252" s="135"/>
      <c r="F252" s="138"/>
      <c r="G252" s="138"/>
      <c r="H252" s="138"/>
      <c r="I252" s="138"/>
      <c r="J252" s="135"/>
      <c r="K252" s="138"/>
      <c r="L252" s="138"/>
      <c r="M252" s="138"/>
      <c r="N252" s="138"/>
      <c r="O252" s="139"/>
      <c r="P252" s="135"/>
      <c r="Q252" s="135"/>
      <c r="R252" s="128"/>
    </row>
    <row r="253">
      <c r="A253" s="137"/>
      <c r="B253" s="135"/>
      <c r="C253" s="138"/>
      <c r="D253" s="135"/>
      <c r="E253" s="135"/>
      <c r="F253" s="138"/>
      <c r="G253" s="138"/>
      <c r="H253" s="138"/>
      <c r="I253" s="138"/>
      <c r="J253" s="135"/>
      <c r="K253" s="138"/>
      <c r="L253" s="138"/>
      <c r="M253" s="138"/>
      <c r="N253" s="138"/>
      <c r="O253" s="139"/>
      <c r="P253" s="135"/>
      <c r="Q253" s="135"/>
      <c r="R253" s="128"/>
    </row>
    <row r="254">
      <c r="A254" s="137"/>
      <c r="B254" s="135"/>
      <c r="C254" s="138"/>
      <c r="D254" s="135"/>
      <c r="E254" s="135"/>
      <c r="F254" s="138"/>
      <c r="G254" s="138"/>
      <c r="H254" s="138"/>
      <c r="I254" s="138"/>
      <c r="J254" s="135"/>
      <c r="K254" s="138"/>
      <c r="L254" s="138"/>
      <c r="M254" s="138"/>
      <c r="N254" s="138"/>
      <c r="O254" s="139"/>
      <c r="P254" s="135"/>
      <c r="Q254" s="135"/>
      <c r="R254" s="128"/>
    </row>
    <row r="255">
      <c r="A255" s="137"/>
      <c r="B255" s="135"/>
      <c r="C255" s="138"/>
      <c r="D255" s="135"/>
      <c r="E255" s="135"/>
      <c r="F255" s="138"/>
      <c r="G255" s="138"/>
      <c r="H255" s="138"/>
      <c r="I255" s="138"/>
      <c r="J255" s="135"/>
      <c r="K255" s="138"/>
      <c r="L255" s="138"/>
      <c r="M255" s="138"/>
      <c r="N255" s="138"/>
      <c r="O255" s="139"/>
      <c r="P255" s="135"/>
      <c r="Q255" s="135"/>
      <c r="R255" s="128"/>
    </row>
    <row r="256">
      <c r="A256" s="137"/>
      <c r="B256" s="135"/>
      <c r="C256" s="138"/>
      <c r="D256" s="135"/>
      <c r="E256" s="135"/>
      <c r="F256" s="138"/>
      <c r="G256" s="138"/>
      <c r="H256" s="138"/>
      <c r="I256" s="138"/>
      <c r="J256" s="135"/>
      <c r="K256" s="138"/>
      <c r="L256" s="138"/>
      <c r="M256" s="138"/>
      <c r="N256" s="138"/>
      <c r="O256" s="139"/>
      <c r="P256" s="135"/>
      <c r="Q256" s="135"/>
      <c r="R256" s="128"/>
    </row>
    <row r="257">
      <c r="A257" s="137"/>
      <c r="B257" s="135"/>
      <c r="C257" s="138"/>
      <c r="D257" s="135"/>
      <c r="E257" s="135"/>
      <c r="F257" s="138"/>
      <c r="G257" s="138"/>
      <c r="H257" s="138"/>
      <c r="I257" s="138"/>
      <c r="J257" s="135"/>
      <c r="K257" s="138"/>
      <c r="L257" s="138"/>
      <c r="M257" s="138"/>
      <c r="N257" s="138"/>
      <c r="O257" s="139"/>
      <c r="P257" s="135"/>
      <c r="Q257" s="135"/>
      <c r="R257" s="128"/>
    </row>
    <row r="258">
      <c r="A258" s="137"/>
      <c r="B258" s="135"/>
      <c r="C258" s="138"/>
      <c r="D258" s="135"/>
      <c r="E258" s="135"/>
      <c r="F258" s="138"/>
      <c r="G258" s="138"/>
      <c r="H258" s="138"/>
      <c r="I258" s="138"/>
      <c r="J258" s="135"/>
      <c r="K258" s="138"/>
      <c r="L258" s="138"/>
      <c r="M258" s="138"/>
      <c r="N258" s="138"/>
      <c r="O258" s="139"/>
      <c r="P258" s="135"/>
      <c r="Q258" s="135"/>
      <c r="R258" s="128"/>
    </row>
    <row r="259">
      <c r="A259" s="137"/>
      <c r="B259" s="135"/>
      <c r="C259" s="138"/>
      <c r="D259" s="135"/>
      <c r="E259" s="135"/>
      <c r="F259" s="138"/>
      <c r="G259" s="138"/>
      <c r="H259" s="138"/>
      <c r="I259" s="138"/>
      <c r="J259" s="135"/>
      <c r="K259" s="138"/>
      <c r="L259" s="138"/>
      <c r="M259" s="138"/>
      <c r="N259" s="138"/>
      <c r="O259" s="139"/>
      <c r="P259" s="135"/>
      <c r="Q259" s="135"/>
      <c r="R259" s="128"/>
    </row>
    <row r="260">
      <c r="A260" s="137"/>
      <c r="B260" s="135"/>
      <c r="C260" s="138"/>
      <c r="D260" s="135"/>
      <c r="E260" s="135"/>
      <c r="F260" s="138"/>
      <c r="G260" s="138"/>
      <c r="H260" s="138"/>
      <c r="I260" s="138"/>
      <c r="J260" s="135"/>
      <c r="K260" s="138"/>
      <c r="L260" s="138"/>
      <c r="M260" s="138"/>
      <c r="N260" s="138"/>
      <c r="O260" s="139"/>
      <c r="P260" s="135"/>
      <c r="Q260" s="135"/>
      <c r="R260" s="128"/>
    </row>
    <row r="261">
      <c r="A261" s="137"/>
      <c r="B261" s="135"/>
      <c r="C261" s="138"/>
      <c r="D261" s="135"/>
      <c r="E261" s="135"/>
      <c r="F261" s="138"/>
      <c r="G261" s="138"/>
      <c r="H261" s="138"/>
      <c r="I261" s="138"/>
      <c r="J261" s="135"/>
      <c r="K261" s="138"/>
      <c r="L261" s="138"/>
      <c r="M261" s="138"/>
      <c r="N261" s="138"/>
      <c r="O261" s="139"/>
      <c r="P261" s="135"/>
      <c r="Q261" s="135"/>
      <c r="R261" s="128"/>
    </row>
    <row r="262">
      <c r="A262" s="137"/>
      <c r="B262" s="135"/>
      <c r="C262" s="138"/>
      <c r="D262" s="135"/>
      <c r="E262" s="135"/>
      <c r="F262" s="138"/>
      <c r="G262" s="138"/>
      <c r="H262" s="138"/>
      <c r="I262" s="138"/>
      <c r="J262" s="135"/>
      <c r="K262" s="138"/>
      <c r="L262" s="138"/>
      <c r="M262" s="138"/>
      <c r="N262" s="138"/>
      <c r="O262" s="139"/>
      <c r="P262" s="135"/>
      <c r="Q262" s="135"/>
      <c r="R262" s="128"/>
    </row>
    <row r="263">
      <c r="A263" s="137"/>
      <c r="B263" s="135"/>
      <c r="C263" s="138"/>
      <c r="D263" s="135"/>
      <c r="E263" s="135"/>
      <c r="F263" s="138"/>
      <c r="G263" s="138"/>
      <c r="H263" s="138"/>
      <c r="I263" s="138"/>
      <c r="J263" s="135"/>
      <c r="K263" s="138"/>
      <c r="L263" s="138"/>
      <c r="M263" s="138"/>
      <c r="N263" s="138"/>
      <c r="O263" s="139"/>
      <c r="P263" s="135"/>
      <c r="Q263" s="135"/>
      <c r="R263" s="128"/>
    </row>
    <row r="264">
      <c r="A264" s="137"/>
      <c r="B264" s="135"/>
      <c r="C264" s="138"/>
      <c r="D264" s="135"/>
      <c r="E264" s="135"/>
      <c r="F264" s="138"/>
      <c r="G264" s="138"/>
      <c r="H264" s="138"/>
      <c r="I264" s="138"/>
      <c r="J264" s="135"/>
      <c r="K264" s="138"/>
      <c r="L264" s="138"/>
      <c r="M264" s="138"/>
      <c r="N264" s="138"/>
      <c r="O264" s="139"/>
      <c r="P264" s="135"/>
      <c r="Q264" s="135"/>
      <c r="R264" s="128"/>
    </row>
    <row r="265">
      <c r="A265" s="137"/>
      <c r="B265" s="135"/>
      <c r="C265" s="138"/>
      <c r="D265" s="135"/>
      <c r="E265" s="135"/>
      <c r="F265" s="138"/>
      <c r="G265" s="138"/>
      <c r="H265" s="138"/>
      <c r="I265" s="138"/>
      <c r="J265" s="135"/>
      <c r="K265" s="138"/>
      <c r="L265" s="138"/>
      <c r="M265" s="138"/>
      <c r="N265" s="138"/>
      <c r="O265" s="139"/>
      <c r="P265" s="135"/>
      <c r="Q265" s="135"/>
      <c r="R265" s="128"/>
    </row>
    <row r="266">
      <c r="A266" s="137"/>
      <c r="B266" s="135"/>
      <c r="C266" s="138"/>
      <c r="D266" s="135"/>
      <c r="E266" s="135"/>
      <c r="F266" s="138"/>
      <c r="G266" s="138"/>
      <c r="H266" s="138"/>
      <c r="I266" s="138"/>
      <c r="J266" s="135"/>
      <c r="K266" s="138"/>
      <c r="L266" s="138"/>
      <c r="M266" s="138"/>
      <c r="N266" s="138"/>
      <c r="O266" s="139"/>
      <c r="P266" s="135"/>
      <c r="Q266" s="135"/>
      <c r="R266" s="128"/>
    </row>
    <row r="267">
      <c r="A267" s="137"/>
      <c r="B267" s="135"/>
      <c r="C267" s="138"/>
      <c r="D267" s="135"/>
      <c r="E267" s="135"/>
      <c r="F267" s="138"/>
      <c r="G267" s="138"/>
      <c r="H267" s="138"/>
      <c r="I267" s="138"/>
      <c r="J267" s="135"/>
      <c r="K267" s="138"/>
      <c r="L267" s="138"/>
      <c r="M267" s="138"/>
      <c r="N267" s="138"/>
      <c r="O267" s="139"/>
      <c r="P267" s="135"/>
      <c r="Q267" s="135"/>
      <c r="R267" s="128"/>
    </row>
    <row r="268">
      <c r="A268" s="137"/>
      <c r="B268" s="135"/>
      <c r="C268" s="138"/>
      <c r="D268" s="135"/>
      <c r="E268" s="135"/>
      <c r="F268" s="138"/>
      <c r="G268" s="138"/>
      <c r="H268" s="138"/>
      <c r="I268" s="138"/>
      <c r="J268" s="135"/>
      <c r="K268" s="138"/>
      <c r="L268" s="138"/>
      <c r="M268" s="138"/>
      <c r="N268" s="138"/>
      <c r="O268" s="139"/>
      <c r="P268" s="135"/>
      <c r="Q268" s="135"/>
      <c r="R268" s="128"/>
    </row>
    <row r="269">
      <c r="A269" s="137"/>
      <c r="B269" s="135"/>
      <c r="C269" s="138"/>
      <c r="D269" s="135"/>
      <c r="E269" s="135"/>
      <c r="F269" s="138"/>
      <c r="G269" s="138"/>
      <c r="H269" s="138"/>
      <c r="I269" s="138"/>
      <c r="J269" s="135"/>
      <c r="K269" s="138"/>
      <c r="L269" s="138"/>
      <c r="M269" s="138"/>
      <c r="N269" s="138"/>
      <c r="O269" s="139"/>
      <c r="P269" s="135"/>
      <c r="Q269" s="135"/>
      <c r="R269" s="128"/>
    </row>
    <row r="270">
      <c r="A270" s="137"/>
      <c r="B270" s="135"/>
      <c r="C270" s="138"/>
      <c r="D270" s="135"/>
      <c r="E270" s="135"/>
      <c r="F270" s="138"/>
      <c r="G270" s="138"/>
      <c r="H270" s="138"/>
      <c r="I270" s="138"/>
      <c r="J270" s="135"/>
      <c r="K270" s="138"/>
      <c r="L270" s="138"/>
      <c r="M270" s="138"/>
      <c r="N270" s="138"/>
      <c r="O270" s="139"/>
      <c r="P270" s="135"/>
      <c r="Q270" s="135"/>
      <c r="R270" s="128"/>
    </row>
    <row r="271">
      <c r="A271" s="137"/>
      <c r="B271" s="135"/>
      <c r="C271" s="138"/>
      <c r="D271" s="135"/>
      <c r="E271" s="135"/>
      <c r="F271" s="138"/>
      <c r="G271" s="138"/>
      <c r="H271" s="138"/>
      <c r="I271" s="138"/>
      <c r="J271" s="135"/>
      <c r="K271" s="138"/>
      <c r="L271" s="138"/>
      <c r="M271" s="138"/>
      <c r="N271" s="138"/>
      <c r="O271" s="139"/>
      <c r="P271" s="135"/>
      <c r="Q271" s="135"/>
      <c r="R271" s="128"/>
    </row>
    <row r="272">
      <c r="A272" s="137"/>
      <c r="B272" s="135"/>
      <c r="C272" s="138"/>
      <c r="D272" s="135"/>
      <c r="E272" s="135"/>
      <c r="F272" s="138"/>
      <c r="G272" s="138"/>
      <c r="H272" s="138"/>
      <c r="I272" s="138"/>
      <c r="J272" s="135"/>
      <c r="K272" s="138"/>
      <c r="L272" s="138"/>
      <c r="M272" s="138"/>
      <c r="N272" s="138"/>
      <c r="O272" s="139"/>
      <c r="P272" s="135"/>
      <c r="Q272" s="135"/>
      <c r="R272" s="128"/>
    </row>
    <row r="273">
      <c r="A273" s="137"/>
      <c r="B273" s="135"/>
      <c r="C273" s="138"/>
      <c r="D273" s="135"/>
      <c r="E273" s="135"/>
      <c r="F273" s="138"/>
      <c r="G273" s="138"/>
      <c r="H273" s="138"/>
      <c r="I273" s="138"/>
      <c r="J273" s="135"/>
      <c r="K273" s="138"/>
      <c r="L273" s="138"/>
      <c r="M273" s="138"/>
      <c r="N273" s="138"/>
      <c r="O273" s="139"/>
      <c r="P273" s="135"/>
      <c r="Q273" s="135"/>
      <c r="R273" s="128"/>
    </row>
    <row r="274">
      <c r="A274" s="137"/>
      <c r="B274" s="135"/>
      <c r="C274" s="138"/>
      <c r="D274" s="135"/>
      <c r="E274" s="135"/>
      <c r="F274" s="138"/>
      <c r="G274" s="138"/>
      <c r="H274" s="138"/>
      <c r="I274" s="138"/>
      <c r="J274" s="135"/>
      <c r="K274" s="138"/>
      <c r="L274" s="138"/>
      <c r="M274" s="138"/>
      <c r="N274" s="138"/>
      <c r="O274" s="139"/>
      <c r="P274" s="135"/>
      <c r="Q274" s="135"/>
      <c r="R274" s="128"/>
    </row>
    <row r="275">
      <c r="A275" s="137"/>
      <c r="B275" s="135"/>
      <c r="C275" s="138"/>
      <c r="D275" s="135"/>
      <c r="E275" s="135"/>
      <c r="F275" s="138"/>
      <c r="G275" s="138"/>
      <c r="H275" s="138"/>
      <c r="I275" s="138"/>
      <c r="J275" s="135"/>
      <c r="K275" s="138"/>
      <c r="L275" s="138"/>
      <c r="M275" s="138"/>
      <c r="N275" s="138"/>
      <c r="O275" s="139"/>
      <c r="P275" s="135"/>
      <c r="Q275" s="135"/>
      <c r="R275" s="128"/>
    </row>
    <row r="276">
      <c r="A276" s="137"/>
      <c r="B276" s="135"/>
      <c r="C276" s="138"/>
      <c r="D276" s="135"/>
      <c r="E276" s="135"/>
      <c r="F276" s="138"/>
      <c r="G276" s="138"/>
      <c r="H276" s="138"/>
      <c r="I276" s="138"/>
      <c r="J276" s="135"/>
      <c r="K276" s="138"/>
      <c r="L276" s="138"/>
      <c r="M276" s="138"/>
      <c r="N276" s="138"/>
      <c r="O276" s="139"/>
      <c r="P276" s="135"/>
      <c r="Q276" s="135"/>
      <c r="R276" s="128"/>
    </row>
    <row r="277">
      <c r="A277" s="137"/>
      <c r="B277" s="135"/>
      <c r="C277" s="138"/>
      <c r="D277" s="135"/>
      <c r="E277" s="135"/>
      <c r="F277" s="138"/>
      <c r="G277" s="138"/>
      <c r="H277" s="138"/>
      <c r="I277" s="138"/>
      <c r="J277" s="135"/>
      <c r="K277" s="138"/>
      <c r="L277" s="138"/>
      <c r="M277" s="138"/>
      <c r="N277" s="138"/>
      <c r="O277" s="139"/>
      <c r="P277" s="135"/>
      <c r="Q277" s="135"/>
      <c r="R277" s="128"/>
    </row>
    <row r="278">
      <c r="A278" s="137"/>
      <c r="B278" s="135"/>
      <c r="C278" s="138"/>
      <c r="D278" s="135"/>
      <c r="E278" s="135"/>
      <c r="F278" s="138"/>
      <c r="G278" s="138"/>
      <c r="H278" s="138"/>
      <c r="I278" s="138"/>
      <c r="J278" s="135"/>
      <c r="K278" s="138"/>
      <c r="L278" s="138"/>
      <c r="M278" s="138"/>
      <c r="N278" s="138"/>
      <c r="O278" s="139"/>
      <c r="P278" s="135"/>
      <c r="Q278" s="135"/>
      <c r="R278" s="128"/>
    </row>
    <row r="279">
      <c r="A279" s="137"/>
      <c r="B279" s="135"/>
      <c r="C279" s="138"/>
      <c r="D279" s="135"/>
      <c r="E279" s="135"/>
      <c r="F279" s="138"/>
      <c r="G279" s="138"/>
      <c r="H279" s="138"/>
      <c r="I279" s="138"/>
      <c r="J279" s="135"/>
      <c r="K279" s="138"/>
      <c r="L279" s="138"/>
      <c r="M279" s="138"/>
      <c r="N279" s="138"/>
      <c r="O279" s="139"/>
      <c r="P279" s="135"/>
      <c r="Q279" s="135"/>
      <c r="R279" s="128"/>
    </row>
    <row r="280">
      <c r="A280" s="137"/>
      <c r="B280" s="135"/>
      <c r="C280" s="138"/>
      <c r="D280" s="135"/>
      <c r="E280" s="135"/>
      <c r="F280" s="138"/>
      <c r="G280" s="138"/>
      <c r="H280" s="138"/>
      <c r="I280" s="138"/>
      <c r="J280" s="135"/>
      <c r="K280" s="138"/>
      <c r="L280" s="138"/>
      <c r="M280" s="138"/>
      <c r="N280" s="138"/>
      <c r="O280" s="139"/>
      <c r="P280" s="135"/>
      <c r="Q280" s="135"/>
      <c r="R280" s="128"/>
    </row>
    <row r="281">
      <c r="A281" s="137"/>
      <c r="B281" s="135"/>
      <c r="C281" s="138"/>
      <c r="D281" s="135"/>
      <c r="E281" s="135"/>
      <c r="F281" s="138"/>
      <c r="G281" s="138"/>
      <c r="H281" s="138"/>
      <c r="I281" s="138"/>
      <c r="J281" s="135"/>
      <c r="K281" s="138"/>
      <c r="L281" s="138"/>
      <c r="M281" s="138"/>
      <c r="N281" s="138"/>
      <c r="O281" s="139"/>
      <c r="P281" s="135"/>
      <c r="Q281" s="135"/>
      <c r="R281" s="128"/>
    </row>
    <row r="282">
      <c r="A282" s="137"/>
      <c r="B282" s="135"/>
      <c r="C282" s="138"/>
      <c r="D282" s="135"/>
      <c r="E282" s="135"/>
      <c r="F282" s="138"/>
      <c r="G282" s="138"/>
      <c r="H282" s="138"/>
      <c r="I282" s="138"/>
      <c r="J282" s="135"/>
      <c r="K282" s="138"/>
      <c r="L282" s="138"/>
      <c r="M282" s="138"/>
      <c r="N282" s="138"/>
      <c r="O282" s="139"/>
      <c r="P282" s="135"/>
      <c r="Q282" s="135"/>
      <c r="R282" s="128"/>
    </row>
    <row r="283">
      <c r="A283" s="137"/>
      <c r="B283" s="135"/>
      <c r="C283" s="138"/>
      <c r="D283" s="135"/>
      <c r="E283" s="135"/>
      <c r="F283" s="138"/>
      <c r="G283" s="138"/>
      <c r="H283" s="138"/>
      <c r="I283" s="138"/>
      <c r="J283" s="135"/>
      <c r="K283" s="138"/>
      <c r="L283" s="138"/>
      <c r="M283" s="138"/>
      <c r="N283" s="138"/>
      <c r="O283" s="139"/>
      <c r="P283" s="135"/>
      <c r="Q283" s="135"/>
      <c r="R283" s="128"/>
    </row>
    <row r="284">
      <c r="A284" s="137"/>
      <c r="B284" s="135"/>
      <c r="C284" s="138"/>
      <c r="D284" s="135"/>
      <c r="E284" s="135"/>
      <c r="F284" s="138"/>
      <c r="G284" s="138"/>
      <c r="H284" s="138"/>
      <c r="I284" s="138"/>
      <c r="J284" s="135"/>
      <c r="K284" s="138"/>
      <c r="L284" s="138"/>
      <c r="M284" s="138"/>
      <c r="N284" s="138"/>
      <c r="O284" s="139"/>
      <c r="P284" s="135"/>
      <c r="Q284" s="135"/>
      <c r="R284" s="128"/>
    </row>
    <row r="285">
      <c r="A285" s="137"/>
      <c r="B285" s="135"/>
      <c r="C285" s="138"/>
      <c r="D285" s="135"/>
      <c r="E285" s="135"/>
      <c r="F285" s="138"/>
      <c r="G285" s="138"/>
      <c r="H285" s="138"/>
      <c r="I285" s="138"/>
      <c r="J285" s="135"/>
      <c r="K285" s="138"/>
      <c r="L285" s="138"/>
      <c r="M285" s="138"/>
      <c r="N285" s="138"/>
      <c r="O285" s="139"/>
      <c r="P285" s="135"/>
      <c r="Q285" s="135"/>
      <c r="R285" s="128"/>
    </row>
    <row r="286">
      <c r="A286" s="137"/>
      <c r="B286" s="135"/>
      <c r="C286" s="138"/>
      <c r="D286" s="135"/>
      <c r="E286" s="135"/>
      <c r="F286" s="138"/>
      <c r="G286" s="138"/>
      <c r="H286" s="138"/>
      <c r="I286" s="138"/>
      <c r="J286" s="135"/>
      <c r="K286" s="138"/>
      <c r="L286" s="138"/>
      <c r="M286" s="138"/>
      <c r="N286" s="138"/>
      <c r="O286" s="139"/>
      <c r="P286" s="135"/>
      <c r="Q286" s="135"/>
      <c r="R286" s="128"/>
    </row>
    <row r="287">
      <c r="A287" s="137"/>
      <c r="B287" s="135"/>
      <c r="C287" s="138"/>
      <c r="D287" s="135"/>
      <c r="E287" s="135"/>
      <c r="F287" s="138"/>
      <c r="G287" s="138"/>
      <c r="H287" s="138"/>
      <c r="I287" s="138"/>
      <c r="J287" s="135"/>
      <c r="K287" s="138"/>
      <c r="L287" s="138"/>
      <c r="M287" s="138"/>
      <c r="N287" s="138"/>
      <c r="O287" s="139"/>
      <c r="P287" s="135"/>
      <c r="Q287" s="135"/>
      <c r="R287" s="128"/>
    </row>
    <row r="288">
      <c r="A288" s="137"/>
      <c r="B288" s="135"/>
      <c r="C288" s="138"/>
      <c r="D288" s="135"/>
      <c r="E288" s="135"/>
      <c r="F288" s="138"/>
      <c r="G288" s="138"/>
      <c r="H288" s="138"/>
      <c r="I288" s="138"/>
      <c r="J288" s="135"/>
      <c r="K288" s="138"/>
      <c r="L288" s="138"/>
      <c r="M288" s="138"/>
      <c r="N288" s="138"/>
      <c r="O288" s="139"/>
      <c r="P288" s="135"/>
      <c r="Q288" s="135"/>
      <c r="R288" s="128"/>
    </row>
    <row r="289">
      <c r="A289" s="137"/>
      <c r="B289" s="135"/>
      <c r="C289" s="138"/>
      <c r="D289" s="135"/>
      <c r="E289" s="135"/>
      <c r="F289" s="138"/>
      <c r="G289" s="138"/>
      <c r="H289" s="138"/>
      <c r="I289" s="138"/>
      <c r="J289" s="135"/>
      <c r="K289" s="138"/>
      <c r="L289" s="138"/>
      <c r="M289" s="138"/>
      <c r="N289" s="138"/>
      <c r="O289" s="139"/>
      <c r="P289" s="135"/>
      <c r="Q289" s="135"/>
      <c r="R289" s="128"/>
    </row>
    <row r="290">
      <c r="A290" s="137"/>
      <c r="B290" s="135"/>
      <c r="C290" s="138"/>
      <c r="D290" s="135"/>
      <c r="E290" s="135"/>
      <c r="F290" s="138"/>
      <c r="G290" s="138"/>
      <c r="H290" s="138"/>
      <c r="I290" s="138"/>
      <c r="J290" s="135"/>
      <c r="K290" s="138"/>
      <c r="L290" s="138"/>
      <c r="M290" s="138"/>
      <c r="N290" s="138"/>
      <c r="O290" s="139"/>
      <c r="P290" s="135"/>
      <c r="Q290" s="135"/>
      <c r="R290" s="128"/>
    </row>
    <row r="291">
      <c r="A291" s="137"/>
      <c r="B291" s="135"/>
      <c r="C291" s="138"/>
      <c r="D291" s="135"/>
      <c r="E291" s="135"/>
      <c r="F291" s="138"/>
      <c r="G291" s="138"/>
      <c r="H291" s="138"/>
      <c r="I291" s="138"/>
      <c r="J291" s="135"/>
      <c r="K291" s="138"/>
      <c r="L291" s="138"/>
      <c r="M291" s="138"/>
      <c r="N291" s="138"/>
      <c r="O291" s="139"/>
      <c r="P291" s="135"/>
      <c r="Q291" s="135"/>
      <c r="R291" s="128"/>
    </row>
    <row r="292">
      <c r="A292" s="137"/>
      <c r="B292" s="135"/>
      <c r="C292" s="138"/>
      <c r="D292" s="135"/>
      <c r="E292" s="135"/>
      <c r="F292" s="138"/>
      <c r="G292" s="138"/>
      <c r="H292" s="138"/>
      <c r="I292" s="138"/>
      <c r="J292" s="135"/>
      <c r="K292" s="138"/>
      <c r="L292" s="138"/>
      <c r="M292" s="138"/>
      <c r="N292" s="138"/>
      <c r="O292" s="139"/>
      <c r="P292" s="135"/>
      <c r="Q292" s="135"/>
      <c r="R292" s="128"/>
    </row>
    <row r="293">
      <c r="A293" s="137"/>
      <c r="B293" s="135"/>
      <c r="C293" s="138"/>
      <c r="D293" s="135"/>
      <c r="E293" s="135"/>
      <c r="F293" s="138"/>
      <c r="G293" s="138"/>
      <c r="H293" s="138"/>
      <c r="I293" s="138"/>
      <c r="J293" s="135"/>
      <c r="K293" s="138"/>
      <c r="L293" s="138"/>
      <c r="M293" s="138"/>
      <c r="N293" s="138"/>
      <c r="O293" s="139"/>
      <c r="P293" s="135"/>
      <c r="Q293" s="135"/>
      <c r="R293" s="128"/>
    </row>
    <row r="294">
      <c r="A294" s="137"/>
      <c r="B294" s="135"/>
      <c r="C294" s="138"/>
      <c r="D294" s="135"/>
      <c r="E294" s="135"/>
      <c r="F294" s="138"/>
      <c r="G294" s="138"/>
      <c r="H294" s="138"/>
      <c r="I294" s="138"/>
      <c r="J294" s="135"/>
      <c r="K294" s="138"/>
      <c r="L294" s="138"/>
      <c r="M294" s="138"/>
      <c r="N294" s="138"/>
      <c r="O294" s="139"/>
      <c r="P294" s="135"/>
      <c r="Q294" s="135"/>
      <c r="R294" s="128"/>
    </row>
    <row r="295">
      <c r="A295" s="137"/>
      <c r="B295" s="135"/>
      <c r="C295" s="138"/>
      <c r="D295" s="135"/>
      <c r="E295" s="135"/>
      <c r="F295" s="138"/>
      <c r="G295" s="138"/>
      <c r="H295" s="138"/>
      <c r="I295" s="138"/>
      <c r="J295" s="135"/>
      <c r="K295" s="138"/>
      <c r="L295" s="138"/>
      <c r="M295" s="138"/>
      <c r="N295" s="138"/>
      <c r="O295" s="139"/>
      <c r="P295" s="135"/>
      <c r="Q295" s="135"/>
      <c r="R295" s="128"/>
    </row>
    <row r="296">
      <c r="A296" s="137"/>
      <c r="B296" s="135"/>
      <c r="C296" s="138"/>
      <c r="D296" s="135"/>
      <c r="E296" s="135"/>
      <c r="F296" s="138"/>
      <c r="G296" s="138"/>
      <c r="H296" s="138"/>
      <c r="I296" s="138"/>
      <c r="J296" s="135"/>
      <c r="K296" s="138"/>
      <c r="L296" s="138"/>
      <c r="M296" s="138"/>
      <c r="N296" s="138"/>
      <c r="O296" s="139"/>
      <c r="P296" s="135"/>
      <c r="Q296" s="135"/>
      <c r="R296" s="128"/>
    </row>
    <row r="297">
      <c r="A297" s="137"/>
      <c r="B297" s="135"/>
      <c r="C297" s="138"/>
      <c r="D297" s="135"/>
      <c r="E297" s="135"/>
      <c r="F297" s="138"/>
      <c r="G297" s="138"/>
      <c r="H297" s="138"/>
      <c r="I297" s="138"/>
      <c r="J297" s="135"/>
      <c r="K297" s="138"/>
      <c r="L297" s="138"/>
      <c r="M297" s="138"/>
      <c r="N297" s="138"/>
      <c r="O297" s="139"/>
      <c r="P297" s="135"/>
      <c r="Q297" s="135"/>
      <c r="R297" s="128"/>
    </row>
    <row r="298">
      <c r="A298" s="137"/>
      <c r="B298" s="135"/>
      <c r="C298" s="138"/>
      <c r="D298" s="135"/>
      <c r="E298" s="135"/>
      <c r="F298" s="138"/>
      <c r="G298" s="138"/>
      <c r="H298" s="138"/>
      <c r="I298" s="138"/>
      <c r="J298" s="135"/>
      <c r="K298" s="138"/>
      <c r="L298" s="138"/>
      <c r="M298" s="138"/>
      <c r="N298" s="138"/>
      <c r="O298" s="139"/>
      <c r="P298" s="135"/>
      <c r="Q298" s="135"/>
      <c r="R298" s="128"/>
    </row>
    <row r="299">
      <c r="A299" s="137"/>
      <c r="B299" s="135"/>
      <c r="C299" s="138"/>
      <c r="D299" s="135"/>
      <c r="E299" s="135"/>
      <c r="F299" s="138"/>
      <c r="G299" s="138"/>
      <c r="H299" s="138"/>
      <c r="I299" s="138"/>
      <c r="J299" s="135"/>
      <c r="K299" s="138"/>
      <c r="L299" s="138"/>
      <c r="M299" s="138"/>
      <c r="N299" s="138"/>
      <c r="O299" s="139"/>
      <c r="P299" s="135"/>
      <c r="Q299" s="135"/>
      <c r="R299" s="128"/>
    </row>
    <row r="300">
      <c r="A300" s="137"/>
      <c r="B300" s="135"/>
      <c r="C300" s="138"/>
      <c r="D300" s="135"/>
      <c r="E300" s="135"/>
      <c r="F300" s="138"/>
      <c r="G300" s="138"/>
      <c r="H300" s="138"/>
      <c r="I300" s="138"/>
      <c r="J300" s="135"/>
      <c r="K300" s="138"/>
      <c r="L300" s="138"/>
      <c r="M300" s="138"/>
      <c r="N300" s="138"/>
      <c r="O300" s="139"/>
      <c r="P300" s="135"/>
      <c r="Q300" s="135"/>
      <c r="R300" s="128"/>
    </row>
    <row r="301">
      <c r="A301" s="137"/>
      <c r="B301" s="135"/>
      <c r="C301" s="138"/>
      <c r="D301" s="135"/>
      <c r="E301" s="135"/>
      <c r="F301" s="138"/>
      <c r="G301" s="138"/>
      <c r="H301" s="138"/>
      <c r="I301" s="138"/>
      <c r="J301" s="135"/>
      <c r="K301" s="138"/>
      <c r="L301" s="138"/>
      <c r="M301" s="138"/>
      <c r="N301" s="138"/>
      <c r="O301" s="139"/>
      <c r="P301" s="135"/>
      <c r="Q301" s="135"/>
      <c r="R301" s="128"/>
    </row>
    <row r="302">
      <c r="A302" s="137"/>
      <c r="B302" s="135"/>
      <c r="C302" s="138"/>
      <c r="D302" s="135"/>
      <c r="E302" s="135"/>
      <c r="F302" s="138"/>
      <c r="G302" s="138"/>
      <c r="H302" s="138"/>
      <c r="I302" s="138"/>
      <c r="J302" s="135"/>
      <c r="K302" s="138"/>
      <c r="L302" s="138"/>
      <c r="M302" s="138"/>
      <c r="N302" s="138"/>
      <c r="O302" s="139"/>
      <c r="P302" s="135"/>
      <c r="Q302" s="135"/>
      <c r="R302" s="128"/>
    </row>
    <row r="303">
      <c r="A303" s="137"/>
      <c r="B303" s="135"/>
      <c r="C303" s="138"/>
      <c r="D303" s="135"/>
      <c r="E303" s="135"/>
      <c r="F303" s="138"/>
      <c r="G303" s="138"/>
      <c r="H303" s="138"/>
      <c r="I303" s="138"/>
      <c r="J303" s="135"/>
      <c r="K303" s="138"/>
      <c r="L303" s="138"/>
      <c r="M303" s="138"/>
      <c r="N303" s="138"/>
      <c r="O303" s="139"/>
      <c r="P303" s="135"/>
      <c r="Q303" s="135"/>
      <c r="R303" s="128"/>
    </row>
    <row r="304">
      <c r="A304" s="137"/>
      <c r="B304" s="135"/>
      <c r="C304" s="138"/>
      <c r="D304" s="135"/>
      <c r="E304" s="135"/>
      <c r="F304" s="138"/>
      <c r="G304" s="138"/>
      <c r="H304" s="138"/>
      <c r="I304" s="138"/>
      <c r="J304" s="135"/>
      <c r="K304" s="138"/>
      <c r="L304" s="138"/>
      <c r="M304" s="138"/>
      <c r="N304" s="138"/>
      <c r="O304" s="139"/>
      <c r="P304" s="135"/>
      <c r="Q304" s="135"/>
      <c r="R304" s="128"/>
    </row>
    <row r="305">
      <c r="A305" s="137"/>
      <c r="B305" s="135"/>
      <c r="C305" s="138"/>
      <c r="D305" s="135"/>
      <c r="E305" s="135"/>
      <c r="F305" s="138"/>
      <c r="G305" s="138"/>
      <c r="H305" s="138"/>
      <c r="I305" s="138"/>
      <c r="J305" s="135"/>
      <c r="K305" s="138"/>
      <c r="L305" s="138"/>
      <c r="M305" s="138"/>
      <c r="N305" s="138"/>
      <c r="O305" s="139"/>
      <c r="P305" s="135"/>
      <c r="Q305" s="135"/>
      <c r="R305" s="128"/>
    </row>
    <row r="306">
      <c r="A306" s="137"/>
      <c r="B306" s="135"/>
      <c r="C306" s="138"/>
      <c r="D306" s="135"/>
      <c r="E306" s="135"/>
      <c r="F306" s="138"/>
      <c r="G306" s="138"/>
      <c r="H306" s="138"/>
      <c r="I306" s="138"/>
      <c r="J306" s="135"/>
      <c r="K306" s="138"/>
      <c r="L306" s="138"/>
      <c r="M306" s="138"/>
      <c r="N306" s="138"/>
      <c r="O306" s="139"/>
      <c r="P306" s="135"/>
      <c r="Q306" s="135"/>
      <c r="R306" s="128"/>
    </row>
    <row r="307">
      <c r="A307" s="137"/>
      <c r="B307" s="135"/>
      <c r="C307" s="138"/>
      <c r="D307" s="135"/>
      <c r="E307" s="135"/>
      <c r="F307" s="138"/>
      <c r="G307" s="138"/>
      <c r="H307" s="138"/>
      <c r="I307" s="138"/>
      <c r="J307" s="135"/>
      <c r="K307" s="138"/>
      <c r="L307" s="138"/>
      <c r="M307" s="138"/>
      <c r="N307" s="138"/>
      <c r="O307" s="139"/>
      <c r="P307" s="135"/>
      <c r="Q307" s="135"/>
      <c r="R307" s="128"/>
    </row>
    <row r="308">
      <c r="A308" s="137"/>
      <c r="B308" s="135"/>
      <c r="C308" s="138"/>
      <c r="D308" s="135"/>
      <c r="E308" s="135"/>
      <c r="F308" s="138"/>
      <c r="G308" s="138"/>
      <c r="H308" s="138"/>
      <c r="I308" s="138"/>
      <c r="J308" s="135"/>
      <c r="K308" s="138"/>
      <c r="L308" s="138"/>
      <c r="M308" s="138"/>
      <c r="N308" s="138"/>
      <c r="O308" s="139"/>
      <c r="P308" s="135"/>
      <c r="Q308" s="135"/>
      <c r="R308" s="128"/>
    </row>
    <row r="309">
      <c r="A309" s="137"/>
      <c r="B309" s="135"/>
      <c r="C309" s="138"/>
      <c r="D309" s="135"/>
      <c r="E309" s="135"/>
      <c r="F309" s="138"/>
      <c r="G309" s="138"/>
      <c r="H309" s="138"/>
      <c r="I309" s="138"/>
      <c r="J309" s="135"/>
      <c r="K309" s="138"/>
      <c r="L309" s="138"/>
      <c r="M309" s="138"/>
      <c r="N309" s="138"/>
      <c r="O309" s="139"/>
      <c r="P309" s="135"/>
      <c r="Q309" s="135"/>
      <c r="R309" s="128"/>
    </row>
    <row r="310">
      <c r="A310" s="137"/>
      <c r="B310" s="135"/>
      <c r="C310" s="138"/>
      <c r="D310" s="135"/>
      <c r="E310" s="135"/>
      <c r="F310" s="138"/>
      <c r="G310" s="138"/>
      <c r="H310" s="138"/>
      <c r="I310" s="138"/>
      <c r="J310" s="135"/>
      <c r="K310" s="138"/>
      <c r="L310" s="138"/>
      <c r="M310" s="138"/>
      <c r="N310" s="138"/>
      <c r="O310" s="139"/>
      <c r="P310" s="135"/>
      <c r="Q310" s="135"/>
      <c r="R310" s="128"/>
    </row>
    <row r="311">
      <c r="A311" s="137"/>
      <c r="B311" s="135"/>
      <c r="C311" s="138"/>
      <c r="D311" s="135"/>
      <c r="E311" s="135"/>
      <c r="F311" s="138"/>
      <c r="G311" s="138"/>
      <c r="H311" s="138"/>
      <c r="I311" s="138"/>
      <c r="J311" s="135"/>
      <c r="K311" s="138"/>
      <c r="L311" s="138"/>
      <c r="M311" s="138"/>
      <c r="N311" s="138"/>
      <c r="O311" s="139"/>
      <c r="P311" s="135"/>
      <c r="Q311" s="135"/>
      <c r="R311" s="128"/>
    </row>
    <row r="312">
      <c r="A312" s="137"/>
      <c r="B312" s="135"/>
      <c r="C312" s="138"/>
      <c r="D312" s="135"/>
      <c r="E312" s="135"/>
      <c r="F312" s="138"/>
      <c r="G312" s="138"/>
      <c r="H312" s="138"/>
      <c r="I312" s="138"/>
      <c r="J312" s="135"/>
      <c r="K312" s="138"/>
      <c r="L312" s="138"/>
      <c r="M312" s="138"/>
      <c r="N312" s="138"/>
      <c r="O312" s="139"/>
      <c r="P312" s="135"/>
      <c r="Q312" s="135"/>
      <c r="R312" s="128"/>
    </row>
    <row r="313">
      <c r="A313" s="137"/>
      <c r="B313" s="135"/>
      <c r="C313" s="138"/>
      <c r="D313" s="135"/>
      <c r="E313" s="135"/>
      <c r="F313" s="138"/>
      <c r="G313" s="138"/>
      <c r="H313" s="138"/>
      <c r="I313" s="138"/>
      <c r="J313" s="135"/>
      <c r="K313" s="138"/>
      <c r="L313" s="138"/>
      <c r="M313" s="138"/>
      <c r="N313" s="138"/>
      <c r="O313" s="139"/>
      <c r="P313" s="135"/>
      <c r="Q313" s="135"/>
      <c r="R313" s="128"/>
    </row>
    <row r="314">
      <c r="A314" s="137"/>
      <c r="B314" s="135"/>
      <c r="C314" s="138"/>
      <c r="D314" s="135"/>
      <c r="E314" s="135"/>
      <c r="F314" s="138"/>
      <c r="G314" s="138"/>
      <c r="H314" s="138"/>
      <c r="I314" s="138"/>
      <c r="J314" s="135"/>
      <c r="K314" s="138"/>
      <c r="L314" s="138"/>
      <c r="M314" s="138"/>
      <c r="N314" s="138"/>
      <c r="O314" s="139"/>
      <c r="P314" s="135"/>
      <c r="Q314" s="135"/>
      <c r="R314" s="128"/>
    </row>
    <row r="315">
      <c r="A315" s="137"/>
      <c r="B315" s="135"/>
      <c r="C315" s="138"/>
      <c r="D315" s="135"/>
      <c r="E315" s="135"/>
      <c r="F315" s="138"/>
      <c r="G315" s="138"/>
      <c r="H315" s="138"/>
      <c r="I315" s="138"/>
      <c r="J315" s="135"/>
      <c r="K315" s="138"/>
      <c r="L315" s="138"/>
      <c r="M315" s="138"/>
      <c r="N315" s="138"/>
      <c r="O315" s="139"/>
      <c r="P315" s="135"/>
      <c r="Q315" s="135"/>
      <c r="R315" s="128"/>
    </row>
    <row r="316">
      <c r="A316" s="137"/>
      <c r="B316" s="135"/>
      <c r="C316" s="138"/>
      <c r="D316" s="135"/>
      <c r="E316" s="135"/>
      <c r="F316" s="138"/>
      <c r="G316" s="138"/>
      <c r="H316" s="138"/>
      <c r="I316" s="138"/>
      <c r="J316" s="135"/>
      <c r="K316" s="138"/>
      <c r="L316" s="138"/>
      <c r="M316" s="138"/>
      <c r="N316" s="138"/>
      <c r="O316" s="139"/>
      <c r="P316" s="135"/>
      <c r="Q316" s="135"/>
      <c r="R316" s="128"/>
    </row>
    <row r="317">
      <c r="A317" s="137"/>
      <c r="B317" s="135"/>
      <c r="C317" s="138"/>
      <c r="D317" s="135"/>
      <c r="E317" s="135"/>
      <c r="F317" s="138"/>
      <c r="G317" s="138"/>
      <c r="H317" s="138"/>
      <c r="I317" s="138"/>
      <c r="J317" s="135"/>
      <c r="K317" s="138"/>
      <c r="L317" s="138"/>
      <c r="M317" s="138"/>
      <c r="N317" s="138"/>
      <c r="O317" s="139"/>
      <c r="P317" s="135"/>
      <c r="Q317" s="135"/>
      <c r="R317" s="128"/>
    </row>
    <row r="318">
      <c r="A318" s="137"/>
      <c r="B318" s="135"/>
      <c r="C318" s="138"/>
      <c r="D318" s="135"/>
      <c r="E318" s="135"/>
      <c r="F318" s="138"/>
      <c r="G318" s="138"/>
      <c r="H318" s="138"/>
      <c r="I318" s="138"/>
      <c r="J318" s="135"/>
      <c r="K318" s="138"/>
      <c r="L318" s="138"/>
      <c r="M318" s="138"/>
      <c r="N318" s="138"/>
      <c r="O318" s="139"/>
      <c r="P318" s="135"/>
      <c r="Q318" s="135"/>
      <c r="R318" s="128"/>
    </row>
    <row r="319">
      <c r="A319" s="137"/>
      <c r="B319" s="135"/>
      <c r="C319" s="138"/>
      <c r="D319" s="135"/>
      <c r="E319" s="135"/>
      <c r="F319" s="138"/>
      <c r="G319" s="138"/>
      <c r="H319" s="138"/>
      <c r="I319" s="138"/>
      <c r="J319" s="135"/>
      <c r="K319" s="138"/>
      <c r="L319" s="138"/>
      <c r="M319" s="138"/>
      <c r="N319" s="138"/>
      <c r="O319" s="139"/>
      <c r="P319" s="135"/>
      <c r="Q319" s="135"/>
      <c r="R319" s="128"/>
    </row>
    <row r="320">
      <c r="A320" s="137"/>
      <c r="B320" s="135"/>
      <c r="C320" s="138"/>
      <c r="D320" s="135"/>
      <c r="E320" s="135"/>
      <c r="F320" s="138"/>
      <c r="G320" s="138"/>
      <c r="H320" s="138"/>
      <c r="I320" s="138"/>
      <c r="J320" s="135"/>
      <c r="K320" s="138"/>
      <c r="L320" s="138"/>
      <c r="M320" s="138"/>
      <c r="N320" s="138"/>
      <c r="O320" s="139"/>
      <c r="P320" s="135"/>
      <c r="Q320" s="135"/>
      <c r="R320" s="128"/>
    </row>
    <row r="321">
      <c r="A321" s="137"/>
      <c r="B321" s="135"/>
      <c r="C321" s="138"/>
      <c r="D321" s="135"/>
      <c r="E321" s="135"/>
      <c r="F321" s="138"/>
      <c r="G321" s="138"/>
      <c r="H321" s="138"/>
      <c r="I321" s="138"/>
      <c r="J321" s="135"/>
      <c r="K321" s="138"/>
      <c r="L321" s="138"/>
      <c r="M321" s="138"/>
      <c r="N321" s="138"/>
      <c r="O321" s="139"/>
      <c r="P321" s="135"/>
      <c r="Q321" s="135"/>
      <c r="R321" s="128"/>
    </row>
    <row r="322">
      <c r="A322" s="137"/>
      <c r="B322" s="135"/>
      <c r="C322" s="138"/>
      <c r="D322" s="135"/>
      <c r="E322" s="135"/>
      <c r="F322" s="138"/>
      <c r="G322" s="138"/>
      <c r="H322" s="138"/>
      <c r="I322" s="138"/>
      <c r="J322" s="135"/>
      <c r="K322" s="138"/>
      <c r="L322" s="138"/>
      <c r="M322" s="138"/>
      <c r="N322" s="138"/>
      <c r="O322" s="139"/>
      <c r="P322" s="135"/>
      <c r="Q322" s="135"/>
      <c r="R322" s="128"/>
    </row>
    <row r="323">
      <c r="A323" s="137"/>
      <c r="B323" s="135"/>
      <c r="C323" s="138"/>
      <c r="D323" s="135"/>
      <c r="E323" s="135"/>
      <c r="F323" s="138"/>
      <c r="G323" s="138"/>
      <c r="H323" s="138"/>
      <c r="I323" s="138"/>
      <c r="J323" s="135"/>
      <c r="K323" s="138"/>
      <c r="L323" s="138"/>
      <c r="M323" s="138"/>
      <c r="N323" s="138"/>
      <c r="O323" s="139"/>
      <c r="P323" s="135"/>
      <c r="Q323" s="135"/>
      <c r="R323" s="128"/>
    </row>
    <row r="324">
      <c r="A324" s="137"/>
      <c r="B324" s="135"/>
      <c r="C324" s="138"/>
      <c r="D324" s="135"/>
      <c r="E324" s="135"/>
      <c r="F324" s="138"/>
      <c r="G324" s="138"/>
      <c r="H324" s="138"/>
      <c r="I324" s="138"/>
      <c r="J324" s="135"/>
      <c r="K324" s="138"/>
      <c r="L324" s="138"/>
      <c r="M324" s="138"/>
      <c r="N324" s="138"/>
      <c r="O324" s="139"/>
      <c r="P324" s="135"/>
      <c r="Q324" s="135"/>
      <c r="R324" s="128"/>
    </row>
    <row r="325">
      <c r="A325" s="137"/>
      <c r="B325" s="135"/>
      <c r="C325" s="138"/>
      <c r="D325" s="135"/>
      <c r="E325" s="135"/>
      <c r="F325" s="138"/>
      <c r="G325" s="138"/>
      <c r="H325" s="138"/>
      <c r="I325" s="138"/>
      <c r="J325" s="135"/>
      <c r="K325" s="138"/>
      <c r="L325" s="138"/>
      <c r="M325" s="138"/>
      <c r="N325" s="138"/>
      <c r="O325" s="139"/>
      <c r="P325" s="135"/>
      <c r="Q325" s="135"/>
      <c r="R325" s="128"/>
    </row>
    <row r="326">
      <c r="A326" s="137"/>
      <c r="B326" s="135"/>
      <c r="C326" s="138"/>
      <c r="D326" s="135"/>
      <c r="E326" s="135"/>
      <c r="F326" s="138"/>
      <c r="G326" s="138"/>
      <c r="H326" s="138"/>
      <c r="I326" s="138"/>
      <c r="J326" s="135"/>
      <c r="K326" s="138"/>
      <c r="L326" s="138"/>
      <c r="M326" s="138"/>
      <c r="N326" s="138"/>
      <c r="O326" s="139"/>
      <c r="P326" s="135"/>
      <c r="Q326" s="135"/>
      <c r="R326" s="128"/>
    </row>
    <row r="327">
      <c r="A327" s="137"/>
      <c r="B327" s="135"/>
      <c r="C327" s="138"/>
      <c r="D327" s="135"/>
      <c r="E327" s="135"/>
      <c r="F327" s="138"/>
      <c r="G327" s="138"/>
      <c r="H327" s="138"/>
      <c r="I327" s="138"/>
      <c r="J327" s="135"/>
      <c r="K327" s="138"/>
      <c r="L327" s="138"/>
      <c r="M327" s="138"/>
      <c r="N327" s="138"/>
      <c r="O327" s="139"/>
      <c r="P327" s="135"/>
      <c r="Q327" s="135"/>
      <c r="R327" s="128"/>
    </row>
    <row r="328">
      <c r="A328" s="137"/>
      <c r="B328" s="135"/>
      <c r="C328" s="138"/>
      <c r="D328" s="135"/>
      <c r="E328" s="135"/>
      <c r="F328" s="138"/>
      <c r="G328" s="138"/>
      <c r="H328" s="138"/>
      <c r="I328" s="138"/>
      <c r="J328" s="135"/>
      <c r="K328" s="138"/>
      <c r="L328" s="138"/>
      <c r="M328" s="138"/>
      <c r="N328" s="138"/>
      <c r="O328" s="139"/>
      <c r="P328" s="135"/>
      <c r="Q328" s="135"/>
      <c r="R328" s="128"/>
    </row>
    <row r="329">
      <c r="A329" s="137"/>
      <c r="B329" s="135"/>
      <c r="C329" s="138"/>
      <c r="D329" s="135"/>
      <c r="E329" s="135"/>
      <c r="F329" s="138"/>
      <c r="G329" s="138"/>
      <c r="H329" s="138"/>
      <c r="I329" s="138"/>
      <c r="J329" s="135"/>
      <c r="K329" s="138"/>
      <c r="L329" s="138"/>
      <c r="M329" s="138"/>
      <c r="N329" s="138"/>
      <c r="O329" s="139"/>
      <c r="P329" s="135"/>
      <c r="Q329" s="135"/>
      <c r="R329" s="128"/>
    </row>
    <row r="330">
      <c r="A330" s="137"/>
      <c r="B330" s="135"/>
      <c r="C330" s="138"/>
      <c r="D330" s="135"/>
      <c r="E330" s="135"/>
      <c r="F330" s="138"/>
      <c r="G330" s="138"/>
      <c r="H330" s="138"/>
      <c r="I330" s="138"/>
      <c r="J330" s="135"/>
      <c r="K330" s="138"/>
      <c r="L330" s="138"/>
      <c r="M330" s="138"/>
      <c r="N330" s="138"/>
      <c r="O330" s="139"/>
      <c r="P330" s="135"/>
      <c r="Q330" s="135"/>
      <c r="R330" s="128"/>
    </row>
    <row r="331">
      <c r="A331" s="137"/>
      <c r="B331" s="135"/>
      <c r="C331" s="138"/>
      <c r="D331" s="135"/>
      <c r="E331" s="135"/>
      <c r="F331" s="138"/>
      <c r="G331" s="138"/>
      <c r="H331" s="138"/>
      <c r="I331" s="138"/>
      <c r="J331" s="135"/>
      <c r="K331" s="138"/>
      <c r="L331" s="138"/>
      <c r="M331" s="138"/>
      <c r="N331" s="138"/>
      <c r="O331" s="139"/>
      <c r="P331" s="135"/>
      <c r="Q331" s="135"/>
      <c r="R331" s="128"/>
    </row>
    <row r="332">
      <c r="A332" s="137"/>
      <c r="B332" s="135"/>
      <c r="C332" s="138"/>
      <c r="D332" s="135"/>
      <c r="E332" s="135"/>
      <c r="F332" s="138"/>
      <c r="G332" s="138"/>
      <c r="H332" s="138"/>
      <c r="I332" s="138"/>
      <c r="J332" s="135"/>
      <c r="K332" s="138"/>
      <c r="L332" s="138"/>
      <c r="M332" s="138"/>
      <c r="N332" s="138"/>
      <c r="O332" s="139"/>
      <c r="P332" s="135"/>
      <c r="Q332" s="135"/>
      <c r="R332" s="128"/>
    </row>
    <row r="333">
      <c r="A333" s="137"/>
      <c r="B333" s="135"/>
      <c r="C333" s="138"/>
      <c r="D333" s="135"/>
      <c r="E333" s="135"/>
      <c r="F333" s="138"/>
      <c r="G333" s="138"/>
      <c r="H333" s="138"/>
      <c r="I333" s="138"/>
      <c r="J333" s="135"/>
      <c r="K333" s="138"/>
      <c r="L333" s="138"/>
      <c r="M333" s="138"/>
      <c r="N333" s="138"/>
      <c r="O333" s="139"/>
      <c r="P333" s="135"/>
      <c r="Q333" s="135"/>
      <c r="R333" s="128"/>
    </row>
    <row r="334">
      <c r="A334" s="137"/>
      <c r="B334" s="135"/>
      <c r="C334" s="138"/>
      <c r="D334" s="135"/>
      <c r="E334" s="135"/>
      <c r="F334" s="138"/>
      <c r="G334" s="138"/>
      <c r="H334" s="138"/>
      <c r="I334" s="138"/>
      <c r="J334" s="135"/>
      <c r="K334" s="138"/>
      <c r="L334" s="138"/>
      <c r="M334" s="138"/>
      <c r="N334" s="138"/>
      <c r="O334" s="139"/>
      <c r="P334" s="135"/>
      <c r="Q334" s="135"/>
      <c r="R334" s="128"/>
    </row>
    <row r="335">
      <c r="A335" s="137"/>
      <c r="B335" s="135"/>
      <c r="C335" s="138"/>
      <c r="D335" s="135"/>
      <c r="E335" s="135"/>
      <c r="F335" s="138"/>
      <c r="G335" s="138"/>
      <c r="H335" s="138"/>
      <c r="I335" s="138"/>
      <c r="J335" s="135"/>
      <c r="K335" s="138"/>
      <c r="L335" s="138"/>
      <c r="M335" s="138"/>
      <c r="N335" s="138"/>
      <c r="O335" s="139"/>
      <c r="P335" s="135"/>
      <c r="Q335" s="135"/>
      <c r="R335" s="128"/>
    </row>
    <row r="336">
      <c r="A336" s="137"/>
      <c r="B336" s="135"/>
      <c r="C336" s="138"/>
      <c r="D336" s="135"/>
      <c r="E336" s="135"/>
      <c r="F336" s="138"/>
      <c r="G336" s="138"/>
      <c r="H336" s="138"/>
      <c r="I336" s="138"/>
      <c r="J336" s="135"/>
      <c r="K336" s="138"/>
      <c r="L336" s="138"/>
      <c r="M336" s="138"/>
      <c r="N336" s="138"/>
      <c r="O336" s="139"/>
      <c r="P336" s="135"/>
      <c r="Q336" s="135"/>
      <c r="R336" s="128"/>
    </row>
    <row r="337">
      <c r="A337" s="137"/>
      <c r="B337" s="135"/>
      <c r="C337" s="138"/>
      <c r="D337" s="135"/>
      <c r="E337" s="135"/>
      <c r="F337" s="138"/>
      <c r="G337" s="138"/>
      <c r="H337" s="138"/>
      <c r="I337" s="138"/>
      <c r="J337" s="135"/>
      <c r="K337" s="138"/>
      <c r="L337" s="138"/>
      <c r="M337" s="138"/>
      <c r="N337" s="138"/>
      <c r="O337" s="139"/>
      <c r="P337" s="135"/>
      <c r="Q337" s="135"/>
      <c r="R337" s="128"/>
    </row>
    <row r="338">
      <c r="A338" s="137"/>
      <c r="B338" s="135"/>
      <c r="C338" s="138"/>
      <c r="D338" s="135"/>
      <c r="E338" s="135"/>
      <c r="F338" s="138"/>
      <c r="G338" s="138"/>
      <c r="H338" s="138"/>
      <c r="I338" s="138"/>
      <c r="J338" s="135"/>
      <c r="K338" s="138"/>
      <c r="L338" s="138"/>
      <c r="M338" s="138"/>
      <c r="N338" s="138"/>
      <c r="O338" s="139"/>
      <c r="P338" s="135"/>
      <c r="Q338" s="135"/>
      <c r="R338" s="128"/>
    </row>
    <row r="339">
      <c r="A339" s="137"/>
      <c r="B339" s="135"/>
      <c r="C339" s="138"/>
      <c r="D339" s="135"/>
      <c r="E339" s="135"/>
      <c r="F339" s="138"/>
      <c r="G339" s="138"/>
      <c r="H339" s="138"/>
      <c r="I339" s="138"/>
      <c r="J339" s="135"/>
      <c r="K339" s="138"/>
      <c r="L339" s="138"/>
      <c r="M339" s="138"/>
      <c r="N339" s="138"/>
      <c r="O339" s="139"/>
      <c r="P339" s="135"/>
      <c r="Q339" s="135"/>
      <c r="R339" s="128"/>
    </row>
    <row r="340">
      <c r="A340" s="137"/>
      <c r="B340" s="135"/>
      <c r="C340" s="138"/>
      <c r="D340" s="135"/>
      <c r="E340" s="135"/>
      <c r="F340" s="138"/>
      <c r="G340" s="138"/>
      <c r="H340" s="138"/>
      <c r="I340" s="138"/>
      <c r="J340" s="135"/>
      <c r="K340" s="138"/>
      <c r="L340" s="138"/>
      <c r="M340" s="138"/>
      <c r="N340" s="138"/>
      <c r="O340" s="139"/>
      <c r="P340" s="135"/>
      <c r="Q340" s="135"/>
      <c r="R340" s="128"/>
    </row>
    <row r="341">
      <c r="A341" s="137"/>
      <c r="B341" s="135"/>
      <c r="C341" s="138"/>
      <c r="D341" s="135"/>
      <c r="E341" s="135"/>
      <c r="F341" s="138"/>
      <c r="G341" s="138"/>
      <c r="H341" s="138"/>
      <c r="I341" s="138"/>
      <c r="J341" s="135"/>
      <c r="K341" s="138"/>
      <c r="L341" s="138"/>
      <c r="M341" s="138"/>
      <c r="N341" s="138"/>
      <c r="O341" s="139"/>
      <c r="P341" s="135"/>
      <c r="Q341" s="135"/>
      <c r="R341" s="128"/>
    </row>
    <row r="342">
      <c r="A342" s="137"/>
      <c r="B342" s="135"/>
      <c r="C342" s="138"/>
      <c r="D342" s="135"/>
      <c r="E342" s="135"/>
      <c r="F342" s="138"/>
      <c r="G342" s="138"/>
      <c r="H342" s="138"/>
      <c r="I342" s="138"/>
      <c r="J342" s="135"/>
      <c r="K342" s="138"/>
      <c r="L342" s="138"/>
      <c r="M342" s="138"/>
      <c r="N342" s="138"/>
      <c r="O342" s="139"/>
      <c r="P342" s="135"/>
      <c r="Q342" s="135"/>
      <c r="R342" s="128"/>
    </row>
    <row r="343">
      <c r="A343" s="137"/>
      <c r="B343" s="135"/>
      <c r="C343" s="138"/>
      <c r="D343" s="135"/>
      <c r="E343" s="135"/>
      <c r="F343" s="138"/>
      <c r="G343" s="138"/>
      <c r="H343" s="138"/>
      <c r="I343" s="138"/>
      <c r="J343" s="135"/>
      <c r="K343" s="138"/>
      <c r="L343" s="138"/>
      <c r="M343" s="138"/>
      <c r="N343" s="138"/>
      <c r="O343" s="139"/>
      <c r="P343" s="135"/>
      <c r="Q343" s="135"/>
      <c r="R343" s="128"/>
    </row>
    <row r="344">
      <c r="A344" s="137"/>
      <c r="B344" s="135"/>
      <c r="C344" s="138"/>
      <c r="D344" s="135"/>
      <c r="E344" s="135"/>
      <c r="F344" s="138"/>
      <c r="G344" s="138"/>
      <c r="H344" s="138"/>
      <c r="I344" s="138"/>
      <c r="J344" s="135"/>
      <c r="K344" s="138"/>
      <c r="L344" s="138"/>
      <c r="M344" s="138"/>
      <c r="N344" s="138"/>
      <c r="O344" s="139"/>
      <c r="P344" s="135"/>
      <c r="Q344" s="135"/>
      <c r="R344" s="128"/>
    </row>
    <row r="345">
      <c r="A345" s="137"/>
      <c r="B345" s="135"/>
      <c r="C345" s="138"/>
      <c r="D345" s="135"/>
      <c r="E345" s="135"/>
      <c r="F345" s="138"/>
      <c r="G345" s="138"/>
      <c r="H345" s="138"/>
      <c r="I345" s="138"/>
      <c r="J345" s="135"/>
      <c r="K345" s="138"/>
      <c r="L345" s="138"/>
      <c r="M345" s="138"/>
      <c r="N345" s="138"/>
      <c r="O345" s="139"/>
      <c r="P345" s="135"/>
      <c r="Q345" s="135"/>
      <c r="R345" s="128"/>
    </row>
    <row r="346">
      <c r="A346" s="137"/>
      <c r="B346" s="135"/>
      <c r="C346" s="138"/>
      <c r="D346" s="135"/>
      <c r="E346" s="135"/>
      <c r="F346" s="138"/>
      <c r="G346" s="138"/>
      <c r="H346" s="138"/>
      <c r="I346" s="138"/>
      <c r="J346" s="135"/>
      <c r="K346" s="138"/>
      <c r="L346" s="138"/>
      <c r="M346" s="138"/>
      <c r="N346" s="138"/>
      <c r="O346" s="139"/>
      <c r="P346" s="135"/>
      <c r="Q346" s="135"/>
      <c r="R346" s="128"/>
    </row>
    <row r="347">
      <c r="A347" s="137"/>
      <c r="B347" s="135"/>
      <c r="C347" s="138"/>
      <c r="D347" s="135"/>
      <c r="E347" s="135"/>
      <c r="F347" s="138"/>
      <c r="G347" s="138"/>
      <c r="H347" s="138"/>
      <c r="I347" s="138"/>
      <c r="J347" s="135"/>
      <c r="K347" s="138"/>
      <c r="L347" s="138"/>
      <c r="M347" s="138"/>
      <c r="N347" s="138"/>
      <c r="O347" s="139"/>
      <c r="P347" s="135"/>
      <c r="Q347" s="135"/>
      <c r="R347" s="128"/>
    </row>
    <row r="348">
      <c r="A348" s="137"/>
      <c r="B348" s="135"/>
      <c r="C348" s="138"/>
      <c r="D348" s="135"/>
      <c r="E348" s="135"/>
      <c r="F348" s="138"/>
      <c r="G348" s="138"/>
      <c r="H348" s="138"/>
      <c r="I348" s="138"/>
      <c r="J348" s="135"/>
      <c r="K348" s="138"/>
      <c r="L348" s="138"/>
      <c r="M348" s="138"/>
      <c r="N348" s="138"/>
      <c r="O348" s="139"/>
      <c r="P348" s="135"/>
      <c r="Q348" s="135"/>
      <c r="R348" s="128"/>
    </row>
    <row r="349">
      <c r="A349" s="137"/>
      <c r="B349" s="135"/>
      <c r="C349" s="138"/>
      <c r="D349" s="135"/>
      <c r="E349" s="135"/>
      <c r="F349" s="138"/>
      <c r="G349" s="138"/>
      <c r="H349" s="138"/>
      <c r="I349" s="138"/>
      <c r="J349" s="135"/>
      <c r="K349" s="138"/>
      <c r="L349" s="138"/>
      <c r="M349" s="138"/>
      <c r="N349" s="138"/>
      <c r="O349" s="139"/>
      <c r="P349" s="135"/>
      <c r="Q349" s="135"/>
      <c r="R349" s="128"/>
    </row>
    <row r="350">
      <c r="A350" s="137"/>
      <c r="B350" s="135"/>
      <c r="C350" s="138"/>
      <c r="D350" s="135"/>
      <c r="E350" s="135"/>
      <c r="F350" s="138"/>
      <c r="G350" s="138"/>
      <c r="H350" s="138"/>
      <c r="I350" s="138"/>
      <c r="J350" s="135"/>
      <c r="K350" s="138"/>
      <c r="L350" s="138"/>
      <c r="M350" s="138"/>
      <c r="N350" s="138"/>
      <c r="O350" s="139"/>
      <c r="P350" s="135"/>
      <c r="Q350" s="135"/>
      <c r="R350" s="128"/>
    </row>
    <row r="351">
      <c r="A351" s="137"/>
      <c r="B351" s="135"/>
      <c r="C351" s="138"/>
      <c r="D351" s="135"/>
      <c r="E351" s="135"/>
      <c r="F351" s="138"/>
      <c r="G351" s="138"/>
      <c r="H351" s="138"/>
      <c r="I351" s="138"/>
      <c r="J351" s="135"/>
      <c r="K351" s="138"/>
      <c r="L351" s="138"/>
      <c r="M351" s="138"/>
      <c r="N351" s="138"/>
      <c r="O351" s="139"/>
      <c r="P351" s="135"/>
      <c r="Q351" s="135"/>
      <c r="R351" s="128"/>
    </row>
    <row r="352">
      <c r="A352" s="137"/>
      <c r="B352" s="135"/>
      <c r="C352" s="138"/>
      <c r="D352" s="135"/>
      <c r="E352" s="135"/>
      <c r="F352" s="138"/>
      <c r="G352" s="138"/>
      <c r="H352" s="138"/>
      <c r="I352" s="138"/>
      <c r="J352" s="135"/>
      <c r="K352" s="138"/>
      <c r="L352" s="138"/>
      <c r="M352" s="138"/>
      <c r="N352" s="138"/>
      <c r="O352" s="139"/>
      <c r="P352" s="135"/>
      <c r="Q352" s="135"/>
      <c r="R352" s="128"/>
    </row>
    <row r="353">
      <c r="A353" s="137"/>
      <c r="B353" s="135"/>
      <c r="C353" s="138"/>
      <c r="D353" s="135"/>
      <c r="E353" s="135"/>
      <c r="F353" s="138"/>
      <c r="G353" s="138"/>
      <c r="H353" s="138"/>
      <c r="I353" s="138"/>
      <c r="J353" s="135"/>
      <c r="K353" s="138"/>
      <c r="L353" s="138"/>
      <c r="M353" s="138"/>
      <c r="N353" s="138"/>
      <c r="O353" s="139"/>
      <c r="P353" s="135"/>
      <c r="Q353" s="135"/>
      <c r="R353" s="128"/>
    </row>
    <row r="354">
      <c r="A354" s="137"/>
      <c r="B354" s="135"/>
      <c r="C354" s="138"/>
      <c r="D354" s="135"/>
      <c r="E354" s="135"/>
      <c r="F354" s="138"/>
      <c r="G354" s="138"/>
      <c r="H354" s="138"/>
      <c r="I354" s="138"/>
      <c r="J354" s="135"/>
      <c r="K354" s="138"/>
      <c r="L354" s="138"/>
      <c r="M354" s="138"/>
      <c r="N354" s="138"/>
      <c r="O354" s="139"/>
      <c r="P354" s="135"/>
      <c r="Q354" s="135"/>
      <c r="R354" s="128"/>
    </row>
    <row r="355">
      <c r="A355" s="137"/>
      <c r="B355" s="135"/>
      <c r="C355" s="138"/>
      <c r="D355" s="135"/>
      <c r="E355" s="135"/>
      <c r="F355" s="138"/>
      <c r="G355" s="138"/>
      <c r="H355" s="138"/>
      <c r="I355" s="138"/>
      <c r="J355" s="135"/>
      <c r="K355" s="138"/>
      <c r="L355" s="138"/>
      <c r="M355" s="138"/>
      <c r="N355" s="138"/>
      <c r="O355" s="139"/>
      <c r="P355" s="135"/>
      <c r="Q355" s="135"/>
      <c r="R355" s="128"/>
    </row>
    <row r="356">
      <c r="A356" s="137"/>
      <c r="B356" s="135"/>
      <c r="C356" s="138"/>
      <c r="D356" s="135"/>
      <c r="E356" s="135"/>
      <c r="F356" s="138"/>
      <c r="G356" s="138"/>
      <c r="H356" s="138"/>
      <c r="I356" s="138"/>
      <c r="J356" s="135"/>
      <c r="K356" s="138"/>
      <c r="L356" s="138"/>
      <c r="M356" s="138"/>
      <c r="N356" s="138"/>
      <c r="O356" s="139"/>
      <c r="P356" s="135"/>
      <c r="Q356" s="135"/>
      <c r="R356" s="128"/>
    </row>
    <row r="357">
      <c r="A357" s="137"/>
      <c r="B357" s="135"/>
      <c r="C357" s="138"/>
      <c r="D357" s="135"/>
      <c r="E357" s="135"/>
      <c r="F357" s="138"/>
      <c r="G357" s="138"/>
      <c r="H357" s="138"/>
      <c r="I357" s="138"/>
      <c r="J357" s="135"/>
      <c r="K357" s="138"/>
      <c r="L357" s="138"/>
      <c r="M357" s="138"/>
      <c r="N357" s="138"/>
      <c r="O357" s="139"/>
      <c r="P357" s="135"/>
      <c r="Q357" s="135"/>
      <c r="R357" s="128"/>
    </row>
    <row r="358">
      <c r="A358" s="137"/>
      <c r="B358" s="135"/>
      <c r="C358" s="138"/>
      <c r="D358" s="135"/>
      <c r="E358" s="135"/>
      <c r="F358" s="138"/>
      <c r="G358" s="138"/>
      <c r="H358" s="138"/>
      <c r="I358" s="138"/>
      <c r="J358" s="135"/>
      <c r="K358" s="138"/>
      <c r="L358" s="138"/>
      <c r="M358" s="138"/>
      <c r="N358" s="138"/>
      <c r="O358" s="139"/>
      <c r="P358" s="135"/>
      <c r="Q358" s="135"/>
      <c r="R358" s="128"/>
    </row>
    <row r="359">
      <c r="A359" s="137"/>
      <c r="B359" s="135"/>
      <c r="C359" s="138"/>
      <c r="D359" s="135"/>
      <c r="E359" s="135"/>
      <c r="F359" s="138"/>
      <c r="G359" s="138"/>
      <c r="H359" s="138"/>
      <c r="I359" s="138"/>
      <c r="J359" s="135"/>
      <c r="K359" s="138"/>
      <c r="L359" s="138"/>
      <c r="M359" s="138"/>
      <c r="N359" s="138"/>
      <c r="O359" s="139"/>
      <c r="P359" s="135"/>
      <c r="Q359" s="135"/>
      <c r="R359" s="128"/>
    </row>
    <row r="360">
      <c r="A360" s="137"/>
      <c r="B360" s="135"/>
      <c r="C360" s="138"/>
      <c r="D360" s="135"/>
      <c r="E360" s="135"/>
      <c r="F360" s="138"/>
      <c r="G360" s="138"/>
      <c r="H360" s="138"/>
      <c r="I360" s="138"/>
      <c r="J360" s="135"/>
      <c r="K360" s="138"/>
      <c r="L360" s="138"/>
      <c r="M360" s="138"/>
      <c r="N360" s="138"/>
      <c r="O360" s="139"/>
      <c r="P360" s="135"/>
      <c r="Q360" s="135"/>
      <c r="R360" s="128"/>
    </row>
    <row r="361">
      <c r="A361" s="137"/>
      <c r="B361" s="135"/>
      <c r="C361" s="138"/>
      <c r="D361" s="135"/>
      <c r="E361" s="135"/>
      <c r="F361" s="138"/>
      <c r="G361" s="138"/>
      <c r="H361" s="138"/>
      <c r="I361" s="138"/>
      <c r="J361" s="135"/>
      <c r="K361" s="138"/>
      <c r="L361" s="138"/>
      <c r="M361" s="138"/>
      <c r="N361" s="138"/>
      <c r="O361" s="139"/>
      <c r="P361" s="135"/>
      <c r="Q361" s="135"/>
      <c r="R361" s="128"/>
    </row>
    <row r="362">
      <c r="A362" s="137"/>
      <c r="B362" s="135"/>
      <c r="C362" s="138"/>
      <c r="D362" s="135"/>
      <c r="E362" s="135"/>
      <c r="F362" s="138"/>
      <c r="G362" s="138"/>
      <c r="H362" s="138"/>
      <c r="I362" s="138"/>
      <c r="J362" s="135"/>
      <c r="K362" s="138"/>
      <c r="L362" s="138"/>
      <c r="M362" s="138"/>
      <c r="N362" s="138"/>
      <c r="O362" s="139"/>
      <c r="P362" s="135"/>
      <c r="Q362" s="135"/>
      <c r="R362" s="128"/>
    </row>
    <row r="363">
      <c r="A363" s="137"/>
      <c r="B363" s="135"/>
      <c r="C363" s="138"/>
      <c r="D363" s="135"/>
      <c r="E363" s="135"/>
      <c r="F363" s="138"/>
      <c r="G363" s="138"/>
      <c r="H363" s="138"/>
      <c r="I363" s="138"/>
      <c r="J363" s="135"/>
      <c r="K363" s="138"/>
      <c r="L363" s="138"/>
      <c r="M363" s="138"/>
      <c r="N363" s="138"/>
      <c r="O363" s="139"/>
      <c r="P363" s="135"/>
      <c r="Q363" s="135"/>
      <c r="R363" s="128"/>
    </row>
    <row r="364">
      <c r="A364" s="137"/>
      <c r="B364" s="135"/>
      <c r="C364" s="138"/>
      <c r="D364" s="135"/>
      <c r="E364" s="135"/>
      <c r="F364" s="138"/>
      <c r="G364" s="138"/>
      <c r="H364" s="138"/>
      <c r="I364" s="138"/>
      <c r="J364" s="135"/>
      <c r="K364" s="138"/>
      <c r="L364" s="138"/>
      <c r="M364" s="138"/>
      <c r="N364" s="138"/>
      <c r="O364" s="139"/>
      <c r="P364" s="135"/>
      <c r="Q364" s="135"/>
      <c r="R364" s="128"/>
    </row>
    <row r="365">
      <c r="A365" s="137"/>
      <c r="B365" s="135"/>
      <c r="C365" s="138"/>
      <c r="D365" s="135"/>
      <c r="E365" s="135"/>
      <c r="F365" s="138"/>
      <c r="G365" s="138"/>
      <c r="H365" s="138"/>
      <c r="I365" s="138"/>
      <c r="J365" s="135"/>
      <c r="K365" s="138"/>
      <c r="L365" s="138"/>
      <c r="M365" s="138"/>
      <c r="N365" s="138"/>
      <c r="O365" s="139"/>
      <c r="P365" s="135"/>
      <c r="Q365" s="135"/>
      <c r="R365" s="128"/>
    </row>
    <row r="366">
      <c r="A366" s="137"/>
      <c r="B366" s="135"/>
      <c r="C366" s="138"/>
      <c r="D366" s="135"/>
      <c r="E366" s="135"/>
      <c r="F366" s="138"/>
      <c r="G366" s="138"/>
      <c r="H366" s="138"/>
      <c r="I366" s="138"/>
      <c r="J366" s="135"/>
      <c r="K366" s="138"/>
      <c r="L366" s="138"/>
      <c r="M366" s="138"/>
      <c r="N366" s="138"/>
      <c r="O366" s="139"/>
      <c r="P366" s="135"/>
      <c r="Q366" s="135"/>
      <c r="R366" s="128"/>
    </row>
    <row r="367">
      <c r="A367" s="137"/>
      <c r="B367" s="135"/>
      <c r="C367" s="138"/>
      <c r="D367" s="135"/>
      <c r="E367" s="135"/>
      <c r="F367" s="138"/>
      <c r="G367" s="138"/>
      <c r="H367" s="138"/>
      <c r="I367" s="138"/>
      <c r="J367" s="135"/>
      <c r="K367" s="138"/>
      <c r="L367" s="138"/>
      <c r="M367" s="138"/>
      <c r="N367" s="138"/>
      <c r="O367" s="139"/>
      <c r="P367" s="135"/>
      <c r="Q367" s="135"/>
      <c r="R367" s="128"/>
    </row>
    <row r="368">
      <c r="A368" s="137"/>
      <c r="B368" s="135"/>
      <c r="C368" s="138"/>
      <c r="D368" s="135"/>
      <c r="E368" s="135"/>
      <c r="F368" s="138"/>
      <c r="G368" s="138"/>
      <c r="H368" s="138"/>
      <c r="I368" s="138"/>
      <c r="J368" s="135"/>
      <c r="K368" s="138"/>
      <c r="L368" s="138"/>
      <c r="M368" s="138"/>
      <c r="N368" s="138"/>
      <c r="O368" s="139"/>
      <c r="P368" s="135"/>
      <c r="Q368" s="135"/>
      <c r="R368" s="128"/>
    </row>
    <row r="369">
      <c r="A369" s="137"/>
      <c r="B369" s="135"/>
      <c r="C369" s="138"/>
      <c r="D369" s="135"/>
      <c r="E369" s="135"/>
      <c r="F369" s="138"/>
      <c r="G369" s="138"/>
      <c r="H369" s="138"/>
      <c r="I369" s="138"/>
      <c r="J369" s="135"/>
      <c r="K369" s="138"/>
      <c r="L369" s="138"/>
      <c r="M369" s="138"/>
      <c r="N369" s="138"/>
      <c r="O369" s="139"/>
      <c r="P369" s="135"/>
      <c r="Q369" s="135"/>
      <c r="R369" s="128"/>
    </row>
    <row r="370">
      <c r="A370" s="137"/>
      <c r="B370" s="135"/>
      <c r="C370" s="138"/>
      <c r="D370" s="135"/>
      <c r="E370" s="135"/>
      <c r="F370" s="138"/>
      <c r="G370" s="138"/>
      <c r="H370" s="138"/>
      <c r="I370" s="138"/>
      <c r="J370" s="135"/>
      <c r="K370" s="138"/>
      <c r="L370" s="138"/>
      <c r="M370" s="138"/>
      <c r="N370" s="138"/>
      <c r="O370" s="139"/>
      <c r="P370" s="135"/>
      <c r="Q370" s="135"/>
      <c r="R370" s="128"/>
    </row>
    <row r="371">
      <c r="A371" s="137"/>
      <c r="B371" s="135"/>
      <c r="C371" s="138"/>
      <c r="D371" s="135"/>
      <c r="E371" s="135"/>
      <c r="F371" s="138"/>
      <c r="G371" s="138"/>
      <c r="H371" s="138"/>
      <c r="I371" s="138"/>
      <c r="J371" s="135"/>
      <c r="K371" s="138"/>
      <c r="L371" s="138"/>
      <c r="M371" s="138"/>
      <c r="N371" s="138"/>
      <c r="O371" s="139"/>
      <c r="P371" s="135"/>
      <c r="Q371" s="135"/>
      <c r="R371" s="128"/>
    </row>
    <row r="372">
      <c r="A372" s="137"/>
      <c r="B372" s="135"/>
      <c r="C372" s="138"/>
      <c r="D372" s="135"/>
      <c r="E372" s="135"/>
      <c r="F372" s="138"/>
      <c r="G372" s="138"/>
      <c r="H372" s="138"/>
      <c r="I372" s="138"/>
      <c r="J372" s="135"/>
      <c r="K372" s="138"/>
      <c r="L372" s="138"/>
      <c r="M372" s="138"/>
      <c r="N372" s="138"/>
      <c r="O372" s="139"/>
      <c r="P372" s="135"/>
      <c r="Q372" s="135"/>
      <c r="R372" s="128"/>
    </row>
    <row r="373">
      <c r="A373" s="137"/>
      <c r="B373" s="135"/>
      <c r="C373" s="138"/>
      <c r="D373" s="135"/>
      <c r="E373" s="135"/>
      <c r="F373" s="138"/>
      <c r="G373" s="138"/>
      <c r="H373" s="138"/>
      <c r="I373" s="138"/>
      <c r="J373" s="135"/>
      <c r="K373" s="138"/>
      <c r="L373" s="138"/>
      <c r="M373" s="138"/>
      <c r="N373" s="138"/>
      <c r="O373" s="139"/>
      <c r="P373" s="135"/>
      <c r="Q373" s="135"/>
      <c r="R373" s="128"/>
    </row>
    <row r="374">
      <c r="A374" s="137"/>
      <c r="B374" s="135"/>
      <c r="C374" s="138"/>
      <c r="D374" s="135"/>
      <c r="E374" s="135"/>
      <c r="F374" s="138"/>
      <c r="G374" s="138"/>
      <c r="H374" s="138"/>
      <c r="I374" s="138"/>
      <c r="J374" s="135"/>
      <c r="K374" s="138"/>
      <c r="L374" s="138"/>
      <c r="M374" s="138"/>
      <c r="N374" s="138"/>
      <c r="O374" s="139"/>
      <c r="P374" s="135"/>
      <c r="Q374" s="135"/>
      <c r="R374" s="128"/>
    </row>
    <row r="375">
      <c r="A375" s="137"/>
      <c r="B375" s="135"/>
      <c r="C375" s="138"/>
      <c r="D375" s="135"/>
      <c r="E375" s="135"/>
      <c r="F375" s="138"/>
      <c r="G375" s="138"/>
      <c r="H375" s="138"/>
      <c r="I375" s="138"/>
      <c r="J375" s="135"/>
      <c r="K375" s="138"/>
      <c r="L375" s="138"/>
      <c r="M375" s="138"/>
      <c r="N375" s="138"/>
      <c r="O375" s="139"/>
      <c r="P375" s="135"/>
      <c r="Q375" s="135"/>
      <c r="R375" s="128"/>
    </row>
    <row r="376">
      <c r="A376" s="137"/>
      <c r="B376" s="135"/>
      <c r="C376" s="138"/>
      <c r="D376" s="135"/>
      <c r="E376" s="135"/>
      <c r="F376" s="138"/>
      <c r="G376" s="138"/>
      <c r="H376" s="138"/>
      <c r="I376" s="138"/>
      <c r="J376" s="135"/>
      <c r="K376" s="138"/>
      <c r="L376" s="138"/>
      <c r="M376" s="138"/>
      <c r="N376" s="138"/>
      <c r="O376" s="139"/>
      <c r="P376" s="135"/>
      <c r="Q376" s="135"/>
      <c r="R376" s="128"/>
    </row>
    <row r="377">
      <c r="A377" s="137"/>
      <c r="B377" s="135"/>
      <c r="C377" s="138"/>
      <c r="D377" s="135"/>
      <c r="E377" s="135"/>
      <c r="F377" s="138"/>
      <c r="G377" s="138"/>
      <c r="H377" s="138"/>
      <c r="I377" s="138"/>
      <c r="J377" s="135"/>
      <c r="K377" s="138"/>
      <c r="L377" s="138"/>
      <c r="M377" s="138"/>
      <c r="N377" s="138"/>
      <c r="O377" s="139"/>
      <c r="P377" s="135"/>
      <c r="Q377" s="135"/>
      <c r="R377" s="128"/>
    </row>
    <row r="378">
      <c r="A378" s="137"/>
      <c r="B378" s="135"/>
      <c r="C378" s="138"/>
      <c r="D378" s="135"/>
      <c r="E378" s="135"/>
      <c r="F378" s="138"/>
      <c r="G378" s="138"/>
      <c r="H378" s="138"/>
      <c r="I378" s="138"/>
      <c r="J378" s="135"/>
      <c r="K378" s="138"/>
      <c r="L378" s="138"/>
      <c r="M378" s="138"/>
      <c r="N378" s="138"/>
      <c r="O378" s="139"/>
      <c r="P378" s="135"/>
      <c r="Q378" s="135"/>
      <c r="R378" s="128"/>
    </row>
    <row r="379">
      <c r="A379" s="137"/>
      <c r="B379" s="135"/>
      <c r="C379" s="138"/>
      <c r="D379" s="135"/>
      <c r="E379" s="135"/>
      <c r="F379" s="138"/>
      <c r="G379" s="138"/>
      <c r="H379" s="138"/>
      <c r="I379" s="138"/>
      <c r="J379" s="135"/>
      <c r="K379" s="138"/>
      <c r="L379" s="138"/>
      <c r="M379" s="138"/>
      <c r="N379" s="138"/>
      <c r="O379" s="139"/>
      <c r="P379" s="135"/>
      <c r="Q379" s="135"/>
      <c r="R379" s="128"/>
    </row>
    <row r="380">
      <c r="A380" s="137"/>
      <c r="B380" s="135"/>
      <c r="C380" s="138"/>
      <c r="D380" s="135"/>
      <c r="E380" s="135"/>
      <c r="F380" s="138"/>
      <c r="G380" s="138"/>
      <c r="H380" s="138"/>
      <c r="I380" s="138"/>
      <c r="J380" s="135"/>
      <c r="K380" s="138"/>
      <c r="L380" s="138"/>
      <c r="M380" s="138"/>
      <c r="N380" s="138"/>
      <c r="O380" s="139"/>
      <c r="P380" s="135"/>
      <c r="Q380" s="135"/>
      <c r="R380" s="128"/>
    </row>
    <row r="381">
      <c r="A381" s="137"/>
      <c r="B381" s="135"/>
      <c r="C381" s="138"/>
      <c r="D381" s="135"/>
      <c r="E381" s="135"/>
      <c r="F381" s="138"/>
      <c r="G381" s="138"/>
      <c r="H381" s="138"/>
      <c r="I381" s="138"/>
      <c r="J381" s="135"/>
      <c r="K381" s="138"/>
      <c r="L381" s="138"/>
      <c r="M381" s="138"/>
      <c r="N381" s="138"/>
      <c r="O381" s="139"/>
      <c r="P381" s="135"/>
      <c r="Q381" s="135"/>
      <c r="R381" s="128"/>
    </row>
    <row r="382">
      <c r="A382" s="137"/>
      <c r="B382" s="135"/>
      <c r="C382" s="138"/>
      <c r="D382" s="135"/>
      <c r="E382" s="135"/>
      <c r="F382" s="138"/>
      <c r="G382" s="138"/>
      <c r="H382" s="138"/>
      <c r="I382" s="138"/>
      <c r="J382" s="135"/>
      <c r="K382" s="138"/>
      <c r="L382" s="138"/>
      <c r="M382" s="138"/>
      <c r="N382" s="138"/>
      <c r="O382" s="139"/>
      <c r="P382" s="135"/>
      <c r="Q382" s="135"/>
      <c r="R382" s="128"/>
    </row>
    <row r="383">
      <c r="A383" s="137"/>
      <c r="B383" s="135"/>
      <c r="C383" s="138"/>
      <c r="D383" s="135"/>
      <c r="E383" s="135"/>
      <c r="F383" s="138"/>
      <c r="G383" s="138"/>
      <c r="H383" s="138"/>
      <c r="I383" s="138"/>
      <c r="J383" s="135"/>
      <c r="K383" s="138"/>
      <c r="L383" s="138"/>
      <c r="M383" s="138"/>
      <c r="N383" s="138"/>
      <c r="O383" s="139"/>
      <c r="P383" s="135"/>
      <c r="Q383" s="135"/>
      <c r="R383" s="128"/>
    </row>
    <row r="384">
      <c r="A384" s="137"/>
      <c r="B384" s="135"/>
      <c r="C384" s="138"/>
      <c r="D384" s="135"/>
      <c r="E384" s="135"/>
      <c r="F384" s="138"/>
      <c r="G384" s="138"/>
      <c r="H384" s="138"/>
      <c r="I384" s="138"/>
      <c r="J384" s="135"/>
      <c r="K384" s="138"/>
      <c r="L384" s="138"/>
      <c r="M384" s="138"/>
      <c r="N384" s="138"/>
      <c r="O384" s="139"/>
      <c r="P384" s="135"/>
      <c r="Q384" s="135"/>
      <c r="R384" s="128"/>
    </row>
    <row r="385">
      <c r="A385" s="137"/>
      <c r="B385" s="135"/>
      <c r="C385" s="138"/>
      <c r="D385" s="135"/>
      <c r="E385" s="135"/>
      <c r="F385" s="138"/>
      <c r="G385" s="138"/>
      <c r="H385" s="138"/>
      <c r="I385" s="138"/>
      <c r="J385" s="135"/>
      <c r="K385" s="138"/>
      <c r="L385" s="138"/>
      <c r="M385" s="138"/>
      <c r="N385" s="138"/>
      <c r="O385" s="139"/>
      <c r="P385" s="135"/>
      <c r="Q385" s="135"/>
      <c r="R385" s="128"/>
    </row>
    <row r="386">
      <c r="A386" s="137"/>
      <c r="B386" s="135"/>
      <c r="C386" s="138"/>
      <c r="D386" s="135"/>
      <c r="E386" s="135"/>
      <c r="F386" s="138"/>
      <c r="G386" s="138"/>
      <c r="H386" s="138"/>
      <c r="I386" s="138"/>
      <c r="J386" s="135"/>
      <c r="K386" s="138"/>
      <c r="L386" s="138"/>
      <c r="M386" s="138"/>
      <c r="N386" s="138"/>
      <c r="O386" s="139"/>
      <c r="P386" s="135"/>
      <c r="Q386" s="135"/>
      <c r="R386" s="128"/>
    </row>
    <row r="387">
      <c r="A387" s="137"/>
      <c r="B387" s="135"/>
      <c r="C387" s="138"/>
      <c r="D387" s="135"/>
      <c r="E387" s="135"/>
      <c r="F387" s="138"/>
      <c r="G387" s="138"/>
      <c r="H387" s="138"/>
      <c r="I387" s="138"/>
      <c r="J387" s="135"/>
      <c r="K387" s="138"/>
      <c r="L387" s="138"/>
      <c r="M387" s="138"/>
      <c r="N387" s="138"/>
      <c r="O387" s="139"/>
      <c r="P387" s="135"/>
      <c r="Q387" s="135"/>
      <c r="R387" s="128"/>
    </row>
    <row r="388">
      <c r="A388" s="137"/>
      <c r="B388" s="135"/>
      <c r="C388" s="138"/>
      <c r="D388" s="135"/>
      <c r="E388" s="135"/>
      <c r="F388" s="138"/>
      <c r="G388" s="138"/>
      <c r="H388" s="138"/>
      <c r="I388" s="138"/>
      <c r="J388" s="135"/>
      <c r="K388" s="138"/>
      <c r="L388" s="138"/>
      <c r="M388" s="138"/>
      <c r="N388" s="138"/>
      <c r="O388" s="139"/>
      <c r="P388" s="135"/>
      <c r="Q388" s="135"/>
      <c r="R388" s="128"/>
    </row>
    <row r="389">
      <c r="A389" s="137"/>
      <c r="B389" s="135"/>
      <c r="C389" s="138"/>
      <c r="D389" s="135"/>
      <c r="E389" s="135"/>
      <c r="F389" s="138"/>
      <c r="G389" s="138"/>
      <c r="H389" s="138"/>
      <c r="I389" s="138"/>
      <c r="J389" s="135"/>
      <c r="K389" s="138"/>
      <c r="L389" s="138"/>
      <c r="M389" s="138"/>
      <c r="N389" s="138"/>
      <c r="O389" s="139"/>
      <c r="P389" s="135"/>
      <c r="Q389" s="135"/>
      <c r="R389" s="128"/>
    </row>
    <row r="390">
      <c r="A390" s="137"/>
      <c r="B390" s="135"/>
      <c r="C390" s="138"/>
      <c r="D390" s="135"/>
      <c r="E390" s="135"/>
      <c r="F390" s="138"/>
      <c r="G390" s="138"/>
      <c r="H390" s="138"/>
      <c r="I390" s="138"/>
      <c r="J390" s="135"/>
      <c r="K390" s="138"/>
      <c r="L390" s="138"/>
      <c r="M390" s="138"/>
      <c r="N390" s="138"/>
      <c r="O390" s="139"/>
      <c r="P390" s="135"/>
      <c r="Q390" s="135"/>
      <c r="R390" s="128"/>
    </row>
    <row r="391">
      <c r="A391" s="137"/>
      <c r="B391" s="135"/>
      <c r="C391" s="138"/>
      <c r="D391" s="135"/>
      <c r="E391" s="135"/>
      <c r="F391" s="138"/>
      <c r="G391" s="138"/>
      <c r="H391" s="138"/>
      <c r="I391" s="138"/>
      <c r="J391" s="135"/>
      <c r="K391" s="138"/>
      <c r="L391" s="138"/>
      <c r="M391" s="138"/>
      <c r="N391" s="138"/>
      <c r="O391" s="139"/>
      <c r="P391" s="135"/>
      <c r="Q391" s="135"/>
      <c r="R391" s="128"/>
    </row>
    <row r="392">
      <c r="A392" s="137"/>
      <c r="B392" s="135"/>
      <c r="C392" s="138"/>
      <c r="D392" s="135"/>
      <c r="E392" s="135"/>
      <c r="F392" s="138"/>
      <c r="G392" s="138"/>
      <c r="H392" s="138"/>
      <c r="I392" s="138"/>
      <c r="J392" s="135"/>
      <c r="K392" s="138"/>
      <c r="L392" s="138"/>
      <c r="M392" s="138"/>
      <c r="N392" s="138"/>
      <c r="O392" s="139"/>
      <c r="P392" s="135"/>
      <c r="Q392" s="135"/>
      <c r="R392" s="128"/>
    </row>
    <row r="393">
      <c r="A393" s="137"/>
      <c r="B393" s="135"/>
      <c r="C393" s="138"/>
      <c r="D393" s="135"/>
      <c r="E393" s="135"/>
      <c r="F393" s="138"/>
      <c r="G393" s="138"/>
      <c r="H393" s="138"/>
      <c r="I393" s="138"/>
      <c r="J393" s="135"/>
      <c r="K393" s="138"/>
      <c r="L393" s="138"/>
      <c r="M393" s="138"/>
      <c r="N393" s="138"/>
      <c r="O393" s="139"/>
      <c r="P393" s="135"/>
      <c r="Q393" s="135"/>
      <c r="R393" s="128"/>
    </row>
    <row r="394">
      <c r="A394" s="137"/>
      <c r="B394" s="135"/>
      <c r="C394" s="138"/>
      <c r="D394" s="135"/>
      <c r="E394" s="135"/>
      <c r="F394" s="138"/>
      <c r="G394" s="138"/>
      <c r="H394" s="138"/>
      <c r="I394" s="138"/>
      <c r="J394" s="135"/>
      <c r="K394" s="138"/>
      <c r="L394" s="138"/>
      <c r="M394" s="138"/>
      <c r="N394" s="138"/>
      <c r="O394" s="139"/>
      <c r="P394" s="135"/>
      <c r="Q394" s="135"/>
      <c r="R394" s="128"/>
    </row>
    <row r="395">
      <c r="A395" s="137"/>
      <c r="B395" s="135"/>
      <c r="C395" s="138"/>
      <c r="D395" s="135"/>
      <c r="E395" s="135"/>
      <c r="F395" s="138"/>
      <c r="G395" s="138"/>
      <c r="H395" s="138"/>
      <c r="I395" s="138"/>
      <c r="J395" s="135"/>
      <c r="K395" s="138"/>
      <c r="L395" s="138"/>
      <c r="M395" s="138"/>
      <c r="N395" s="138"/>
      <c r="O395" s="139"/>
      <c r="P395" s="135"/>
      <c r="Q395" s="135"/>
      <c r="R395" s="128"/>
    </row>
    <row r="396">
      <c r="A396" s="137"/>
      <c r="B396" s="135"/>
      <c r="C396" s="138"/>
      <c r="D396" s="135"/>
      <c r="E396" s="135"/>
      <c r="F396" s="138"/>
      <c r="G396" s="138"/>
      <c r="H396" s="138"/>
      <c r="I396" s="138"/>
      <c r="J396" s="135"/>
      <c r="K396" s="138"/>
      <c r="L396" s="138"/>
      <c r="M396" s="138"/>
      <c r="N396" s="138"/>
      <c r="O396" s="139"/>
      <c r="P396" s="135"/>
      <c r="Q396" s="135"/>
      <c r="R396" s="128"/>
    </row>
    <row r="397">
      <c r="A397" s="137"/>
      <c r="B397" s="135"/>
      <c r="C397" s="138"/>
      <c r="D397" s="135"/>
      <c r="E397" s="135"/>
      <c r="F397" s="138"/>
      <c r="G397" s="138"/>
      <c r="H397" s="138"/>
      <c r="I397" s="138"/>
      <c r="J397" s="135"/>
      <c r="K397" s="138"/>
      <c r="L397" s="138"/>
      <c r="M397" s="138"/>
      <c r="N397" s="138"/>
      <c r="O397" s="139"/>
      <c r="P397" s="135"/>
      <c r="Q397" s="135"/>
      <c r="R397" s="128"/>
    </row>
    <row r="398">
      <c r="A398" s="137"/>
      <c r="B398" s="135"/>
      <c r="C398" s="138"/>
      <c r="D398" s="135"/>
      <c r="E398" s="135"/>
      <c r="F398" s="138"/>
      <c r="G398" s="138"/>
      <c r="H398" s="138"/>
      <c r="I398" s="138"/>
      <c r="J398" s="135"/>
      <c r="K398" s="138"/>
      <c r="L398" s="138"/>
      <c r="M398" s="138"/>
      <c r="N398" s="138"/>
      <c r="O398" s="139"/>
      <c r="P398" s="135"/>
      <c r="Q398" s="135"/>
      <c r="R398" s="128"/>
    </row>
    <row r="399">
      <c r="A399" s="137"/>
      <c r="B399" s="135"/>
      <c r="C399" s="138"/>
      <c r="D399" s="135"/>
      <c r="E399" s="135"/>
      <c r="F399" s="138"/>
      <c r="G399" s="138"/>
      <c r="H399" s="138"/>
      <c r="I399" s="138"/>
      <c r="J399" s="135"/>
      <c r="K399" s="138"/>
      <c r="L399" s="138"/>
      <c r="M399" s="138"/>
      <c r="N399" s="138"/>
      <c r="O399" s="139"/>
      <c r="P399" s="135"/>
      <c r="Q399" s="135"/>
      <c r="R399" s="128"/>
    </row>
    <row r="400">
      <c r="A400" s="137"/>
      <c r="B400" s="135"/>
      <c r="C400" s="138"/>
      <c r="D400" s="135"/>
      <c r="E400" s="135"/>
      <c r="F400" s="138"/>
      <c r="G400" s="138"/>
      <c r="H400" s="138"/>
      <c r="I400" s="138"/>
      <c r="J400" s="135"/>
      <c r="K400" s="138"/>
      <c r="L400" s="138"/>
      <c r="M400" s="138"/>
      <c r="N400" s="138"/>
      <c r="O400" s="139"/>
      <c r="P400" s="135"/>
      <c r="Q400" s="135"/>
      <c r="R400" s="128"/>
    </row>
    <row r="401">
      <c r="A401" s="137"/>
      <c r="B401" s="135"/>
      <c r="C401" s="138"/>
      <c r="D401" s="135"/>
      <c r="E401" s="135"/>
      <c r="F401" s="138"/>
      <c r="G401" s="138"/>
      <c r="H401" s="138"/>
      <c r="I401" s="138"/>
      <c r="J401" s="135"/>
      <c r="K401" s="138"/>
      <c r="L401" s="138"/>
      <c r="M401" s="138"/>
      <c r="N401" s="138"/>
      <c r="O401" s="139"/>
      <c r="P401" s="135"/>
      <c r="Q401" s="135"/>
      <c r="R401" s="128"/>
    </row>
    <row r="402">
      <c r="A402" s="137"/>
      <c r="B402" s="135"/>
      <c r="C402" s="138"/>
      <c r="D402" s="135"/>
      <c r="E402" s="135"/>
      <c r="F402" s="138"/>
      <c r="G402" s="138"/>
      <c r="H402" s="138"/>
      <c r="I402" s="138"/>
      <c r="J402" s="135"/>
      <c r="K402" s="138"/>
      <c r="L402" s="138"/>
      <c r="M402" s="138"/>
      <c r="N402" s="138"/>
      <c r="O402" s="139"/>
      <c r="P402" s="135"/>
      <c r="Q402" s="135"/>
      <c r="R402" s="128"/>
    </row>
    <row r="403">
      <c r="A403" s="137"/>
      <c r="B403" s="135"/>
      <c r="C403" s="138"/>
      <c r="D403" s="135"/>
      <c r="E403" s="135"/>
      <c r="F403" s="138"/>
      <c r="G403" s="138"/>
      <c r="H403" s="138"/>
      <c r="I403" s="138"/>
      <c r="J403" s="135"/>
      <c r="K403" s="138"/>
      <c r="L403" s="138"/>
      <c r="M403" s="138"/>
      <c r="N403" s="138"/>
      <c r="O403" s="139"/>
      <c r="P403" s="135"/>
      <c r="Q403" s="135"/>
      <c r="R403" s="128"/>
    </row>
    <row r="404">
      <c r="A404" s="137"/>
      <c r="B404" s="135"/>
      <c r="C404" s="138"/>
      <c r="D404" s="135"/>
      <c r="E404" s="135"/>
      <c r="F404" s="138"/>
      <c r="G404" s="138"/>
      <c r="H404" s="138"/>
      <c r="I404" s="138"/>
      <c r="J404" s="135"/>
      <c r="K404" s="138"/>
      <c r="L404" s="138"/>
      <c r="M404" s="138"/>
      <c r="N404" s="138"/>
      <c r="O404" s="139"/>
      <c r="P404" s="135"/>
      <c r="Q404" s="135"/>
      <c r="R404" s="128"/>
    </row>
    <row r="405">
      <c r="A405" s="137"/>
      <c r="B405" s="135"/>
      <c r="C405" s="138"/>
      <c r="D405" s="135"/>
      <c r="E405" s="135"/>
      <c r="F405" s="138"/>
      <c r="G405" s="138"/>
      <c r="H405" s="138"/>
      <c r="I405" s="138"/>
      <c r="J405" s="135"/>
      <c r="K405" s="138"/>
      <c r="L405" s="138"/>
      <c r="M405" s="138"/>
      <c r="N405" s="138"/>
      <c r="O405" s="139"/>
      <c r="P405" s="135"/>
      <c r="Q405" s="135"/>
      <c r="R405" s="128"/>
    </row>
    <row r="406">
      <c r="A406" s="137"/>
      <c r="B406" s="135"/>
      <c r="C406" s="138"/>
      <c r="D406" s="135"/>
      <c r="E406" s="135"/>
      <c r="F406" s="138"/>
      <c r="G406" s="138"/>
      <c r="H406" s="138"/>
      <c r="I406" s="138"/>
      <c r="J406" s="135"/>
      <c r="K406" s="138"/>
      <c r="L406" s="138"/>
      <c r="M406" s="138"/>
      <c r="N406" s="138"/>
      <c r="O406" s="139"/>
      <c r="P406" s="135"/>
      <c r="Q406" s="135"/>
      <c r="R406" s="128"/>
    </row>
    <row r="407">
      <c r="A407" s="137"/>
      <c r="B407" s="135"/>
      <c r="C407" s="138"/>
      <c r="D407" s="135"/>
      <c r="E407" s="135"/>
      <c r="F407" s="138"/>
      <c r="G407" s="138"/>
      <c r="H407" s="138"/>
      <c r="I407" s="138"/>
      <c r="J407" s="135"/>
      <c r="K407" s="138"/>
      <c r="L407" s="138"/>
      <c r="M407" s="138"/>
      <c r="N407" s="138"/>
      <c r="O407" s="139"/>
      <c r="P407" s="135"/>
      <c r="Q407" s="135"/>
      <c r="R407" s="128"/>
    </row>
    <row r="408">
      <c r="A408" s="137"/>
      <c r="B408" s="135"/>
      <c r="C408" s="138"/>
      <c r="D408" s="135"/>
      <c r="E408" s="135"/>
      <c r="F408" s="138"/>
      <c r="G408" s="138"/>
      <c r="H408" s="138"/>
      <c r="I408" s="138"/>
      <c r="J408" s="135"/>
      <c r="K408" s="138"/>
      <c r="L408" s="138"/>
      <c r="M408" s="138"/>
      <c r="N408" s="138"/>
      <c r="O408" s="139"/>
      <c r="P408" s="135"/>
      <c r="Q408" s="135"/>
      <c r="R408" s="128"/>
    </row>
    <row r="409">
      <c r="A409" s="137"/>
      <c r="B409" s="135"/>
      <c r="C409" s="138"/>
      <c r="D409" s="135"/>
      <c r="E409" s="135"/>
      <c r="F409" s="138"/>
      <c r="G409" s="138"/>
      <c r="H409" s="138"/>
      <c r="I409" s="138"/>
      <c r="J409" s="135"/>
      <c r="K409" s="138"/>
      <c r="L409" s="138"/>
      <c r="M409" s="138"/>
      <c r="N409" s="138"/>
      <c r="O409" s="139"/>
      <c r="P409" s="135"/>
      <c r="Q409" s="135"/>
      <c r="R409" s="128"/>
    </row>
    <row r="410">
      <c r="A410" s="137"/>
      <c r="B410" s="135"/>
      <c r="C410" s="138"/>
      <c r="D410" s="135"/>
      <c r="E410" s="135"/>
      <c r="F410" s="138"/>
      <c r="G410" s="138"/>
      <c r="H410" s="138"/>
      <c r="I410" s="138"/>
      <c r="J410" s="135"/>
      <c r="K410" s="138"/>
      <c r="L410" s="138"/>
      <c r="M410" s="138"/>
      <c r="N410" s="138"/>
      <c r="O410" s="139"/>
      <c r="P410" s="135"/>
      <c r="Q410" s="135"/>
      <c r="R410" s="128"/>
    </row>
    <row r="411">
      <c r="A411" s="137"/>
      <c r="B411" s="135"/>
      <c r="C411" s="138"/>
      <c r="D411" s="135"/>
      <c r="E411" s="135"/>
      <c r="F411" s="138"/>
      <c r="G411" s="138"/>
      <c r="H411" s="138"/>
      <c r="I411" s="138"/>
      <c r="J411" s="135"/>
      <c r="K411" s="138"/>
      <c r="L411" s="138"/>
      <c r="M411" s="138"/>
      <c r="N411" s="138"/>
      <c r="O411" s="139"/>
      <c r="P411" s="135"/>
      <c r="Q411" s="135"/>
      <c r="R411" s="128"/>
    </row>
    <row r="412">
      <c r="A412" s="137"/>
      <c r="B412" s="135"/>
      <c r="C412" s="138"/>
      <c r="D412" s="135"/>
      <c r="E412" s="135"/>
      <c r="F412" s="138"/>
      <c r="G412" s="138"/>
      <c r="H412" s="138"/>
      <c r="I412" s="138"/>
      <c r="J412" s="135"/>
      <c r="K412" s="138"/>
      <c r="L412" s="138"/>
      <c r="M412" s="138"/>
      <c r="N412" s="138"/>
      <c r="O412" s="139"/>
      <c r="P412" s="135"/>
      <c r="Q412" s="135"/>
      <c r="R412" s="128"/>
    </row>
    <row r="413">
      <c r="A413" s="137"/>
      <c r="B413" s="135"/>
      <c r="C413" s="138"/>
      <c r="D413" s="135"/>
      <c r="E413" s="135"/>
      <c r="F413" s="138"/>
      <c r="G413" s="138"/>
      <c r="H413" s="138"/>
      <c r="I413" s="138"/>
      <c r="J413" s="135"/>
      <c r="K413" s="138"/>
      <c r="L413" s="138"/>
      <c r="M413" s="138"/>
      <c r="N413" s="138"/>
      <c r="O413" s="139"/>
      <c r="P413" s="135"/>
      <c r="Q413" s="135"/>
      <c r="R413" s="128"/>
    </row>
    <row r="414">
      <c r="A414" s="137"/>
      <c r="B414" s="135"/>
      <c r="C414" s="138"/>
      <c r="D414" s="135"/>
      <c r="E414" s="135"/>
      <c r="F414" s="138"/>
      <c r="G414" s="138"/>
      <c r="H414" s="138"/>
      <c r="I414" s="138"/>
      <c r="J414" s="135"/>
      <c r="K414" s="138"/>
      <c r="L414" s="138"/>
      <c r="M414" s="138"/>
      <c r="N414" s="138"/>
      <c r="O414" s="139"/>
      <c r="P414" s="135"/>
      <c r="Q414" s="135"/>
      <c r="R414" s="128"/>
    </row>
    <row r="415">
      <c r="A415" s="137"/>
      <c r="B415" s="135"/>
      <c r="C415" s="138"/>
      <c r="D415" s="135"/>
      <c r="E415" s="135"/>
      <c r="F415" s="138"/>
      <c r="G415" s="138"/>
      <c r="H415" s="138"/>
      <c r="I415" s="138"/>
      <c r="J415" s="135"/>
      <c r="K415" s="138"/>
      <c r="L415" s="138"/>
      <c r="M415" s="138"/>
      <c r="N415" s="138"/>
      <c r="O415" s="139"/>
      <c r="P415" s="135"/>
      <c r="Q415" s="135"/>
      <c r="R415" s="128"/>
    </row>
    <row r="416">
      <c r="A416" s="137"/>
      <c r="B416" s="135"/>
      <c r="C416" s="138"/>
      <c r="D416" s="135"/>
      <c r="E416" s="135"/>
      <c r="F416" s="138"/>
      <c r="G416" s="138"/>
      <c r="H416" s="138"/>
      <c r="I416" s="138"/>
      <c r="J416" s="135"/>
      <c r="K416" s="138"/>
      <c r="L416" s="138"/>
      <c r="M416" s="138"/>
      <c r="N416" s="138"/>
      <c r="O416" s="139"/>
      <c r="P416" s="135"/>
      <c r="Q416" s="135"/>
      <c r="R416" s="128"/>
    </row>
    <row r="417">
      <c r="A417" s="137"/>
      <c r="B417" s="135"/>
      <c r="C417" s="138"/>
      <c r="D417" s="135"/>
      <c r="E417" s="135"/>
      <c r="F417" s="138"/>
      <c r="G417" s="138"/>
      <c r="H417" s="138"/>
      <c r="I417" s="138"/>
      <c r="J417" s="135"/>
      <c r="K417" s="138"/>
      <c r="L417" s="138"/>
      <c r="M417" s="138"/>
      <c r="N417" s="138"/>
      <c r="O417" s="139"/>
      <c r="P417" s="135"/>
      <c r="Q417" s="135"/>
      <c r="R417" s="128"/>
    </row>
    <row r="418">
      <c r="A418" s="137"/>
      <c r="B418" s="135"/>
      <c r="C418" s="138"/>
      <c r="D418" s="135"/>
      <c r="E418" s="135"/>
      <c r="F418" s="138"/>
      <c r="G418" s="138"/>
      <c r="H418" s="138"/>
      <c r="I418" s="138"/>
      <c r="J418" s="135"/>
      <c r="K418" s="138"/>
      <c r="L418" s="138"/>
      <c r="M418" s="138"/>
      <c r="N418" s="138"/>
      <c r="O418" s="139"/>
      <c r="P418" s="135"/>
      <c r="Q418" s="135"/>
      <c r="R418" s="128"/>
    </row>
    <row r="419">
      <c r="A419" s="137"/>
      <c r="B419" s="135"/>
      <c r="C419" s="138"/>
      <c r="D419" s="135"/>
      <c r="E419" s="135"/>
      <c r="F419" s="138"/>
      <c r="G419" s="138"/>
      <c r="H419" s="138"/>
      <c r="I419" s="138"/>
      <c r="J419" s="135"/>
      <c r="K419" s="138"/>
      <c r="L419" s="138"/>
      <c r="M419" s="138"/>
      <c r="N419" s="138"/>
      <c r="O419" s="139"/>
      <c r="P419" s="135"/>
      <c r="Q419" s="135"/>
      <c r="R419" s="128"/>
    </row>
    <row r="420">
      <c r="A420" s="137"/>
      <c r="B420" s="135"/>
      <c r="C420" s="138"/>
      <c r="D420" s="135"/>
      <c r="E420" s="135"/>
      <c r="F420" s="138"/>
      <c r="G420" s="138"/>
      <c r="H420" s="138"/>
      <c r="I420" s="138"/>
      <c r="J420" s="135"/>
      <c r="K420" s="138"/>
      <c r="L420" s="138"/>
      <c r="M420" s="138"/>
      <c r="N420" s="138"/>
      <c r="O420" s="139"/>
      <c r="P420" s="135"/>
      <c r="Q420" s="135"/>
      <c r="R420" s="128"/>
    </row>
    <row r="421">
      <c r="A421" s="137"/>
      <c r="B421" s="135"/>
      <c r="C421" s="138"/>
      <c r="D421" s="135"/>
      <c r="E421" s="135"/>
      <c r="F421" s="138"/>
      <c r="G421" s="138"/>
      <c r="H421" s="138"/>
      <c r="I421" s="138"/>
      <c r="J421" s="135"/>
      <c r="K421" s="138"/>
      <c r="L421" s="138"/>
      <c r="M421" s="138"/>
      <c r="N421" s="138"/>
      <c r="O421" s="139"/>
      <c r="P421" s="135"/>
      <c r="Q421" s="135"/>
      <c r="R421" s="128"/>
    </row>
    <row r="422">
      <c r="A422" s="137"/>
      <c r="B422" s="135"/>
      <c r="C422" s="138"/>
      <c r="D422" s="135"/>
      <c r="E422" s="135"/>
      <c r="F422" s="138"/>
      <c r="G422" s="138"/>
      <c r="H422" s="138"/>
      <c r="I422" s="138"/>
      <c r="J422" s="135"/>
      <c r="K422" s="138"/>
      <c r="L422" s="138"/>
      <c r="M422" s="138"/>
      <c r="N422" s="138"/>
      <c r="O422" s="139"/>
      <c r="P422" s="135"/>
      <c r="Q422" s="135"/>
      <c r="R422" s="128"/>
    </row>
    <row r="423">
      <c r="A423" s="137"/>
      <c r="B423" s="135"/>
      <c r="C423" s="138"/>
      <c r="D423" s="135"/>
      <c r="E423" s="135"/>
      <c r="F423" s="138"/>
      <c r="G423" s="138"/>
      <c r="H423" s="138"/>
      <c r="I423" s="138"/>
      <c r="J423" s="135"/>
      <c r="K423" s="138"/>
      <c r="L423" s="138"/>
      <c r="M423" s="138"/>
      <c r="N423" s="138"/>
      <c r="O423" s="139"/>
      <c r="P423" s="135"/>
      <c r="Q423" s="135"/>
      <c r="R423" s="128"/>
    </row>
    <row r="424">
      <c r="A424" s="137"/>
      <c r="B424" s="135"/>
      <c r="C424" s="138"/>
      <c r="D424" s="135"/>
      <c r="E424" s="135"/>
      <c r="F424" s="138"/>
      <c r="G424" s="138"/>
      <c r="H424" s="138"/>
      <c r="I424" s="138"/>
      <c r="J424" s="135"/>
      <c r="K424" s="138"/>
      <c r="L424" s="138"/>
      <c r="M424" s="138"/>
      <c r="N424" s="138"/>
      <c r="O424" s="139"/>
      <c r="P424" s="135"/>
      <c r="Q424" s="135"/>
      <c r="R424" s="128"/>
    </row>
    <row r="425">
      <c r="A425" s="137"/>
      <c r="B425" s="135"/>
      <c r="C425" s="138"/>
      <c r="D425" s="135"/>
      <c r="E425" s="135"/>
      <c r="F425" s="138"/>
      <c r="G425" s="138"/>
      <c r="H425" s="138"/>
      <c r="I425" s="138"/>
      <c r="J425" s="135"/>
      <c r="K425" s="138"/>
      <c r="L425" s="138"/>
      <c r="M425" s="138"/>
      <c r="N425" s="138"/>
      <c r="O425" s="139"/>
      <c r="P425" s="135"/>
      <c r="Q425" s="135"/>
      <c r="R425" s="128"/>
    </row>
    <row r="426">
      <c r="A426" s="137"/>
      <c r="B426" s="135"/>
      <c r="C426" s="138"/>
      <c r="D426" s="135"/>
      <c r="E426" s="135"/>
      <c r="F426" s="138"/>
      <c r="G426" s="138"/>
      <c r="H426" s="138"/>
      <c r="I426" s="138"/>
      <c r="J426" s="135"/>
      <c r="K426" s="138"/>
      <c r="L426" s="138"/>
      <c r="M426" s="138"/>
      <c r="N426" s="138"/>
      <c r="O426" s="139"/>
      <c r="P426" s="135"/>
      <c r="Q426" s="135"/>
      <c r="R426" s="128"/>
    </row>
    <row r="427">
      <c r="A427" s="137"/>
      <c r="B427" s="135"/>
      <c r="C427" s="138"/>
      <c r="D427" s="135"/>
      <c r="E427" s="135"/>
      <c r="F427" s="138"/>
      <c r="G427" s="138"/>
      <c r="H427" s="138"/>
      <c r="I427" s="138"/>
      <c r="J427" s="135"/>
      <c r="K427" s="138"/>
      <c r="L427" s="138"/>
      <c r="M427" s="138"/>
      <c r="N427" s="138"/>
      <c r="O427" s="139"/>
      <c r="P427" s="135"/>
      <c r="Q427" s="135"/>
      <c r="R427" s="128"/>
    </row>
    <row r="428">
      <c r="A428" s="137"/>
      <c r="B428" s="135"/>
      <c r="C428" s="138"/>
      <c r="D428" s="135"/>
      <c r="E428" s="135"/>
      <c r="F428" s="138"/>
      <c r="G428" s="138"/>
      <c r="H428" s="138"/>
      <c r="I428" s="138"/>
      <c r="J428" s="135"/>
      <c r="K428" s="138"/>
      <c r="L428" s="138"/>
      <c r="M428" s="138"/>
      <c r="N428" s="138"/>
      <c r="O428" s="139"/>
      <c r="P428" s="135"/>
      <c r="Q428" s="135"/>
      <c r="R428" s="128"/>
    </row>
    <row r="429">
      <c r="A429" s="137"/>
      <c r="B429" s="135"/>
      <c r="C429" s="138"/>
      <c r="D429" s="135"/>
      <c r="E429" s="135"/>
      <c r="F429" s="138"/>
      <c r="G429" s="138"/>
      <c r="H429" s="138"/>
      <c r="I429" s="138"/>
      <c r="J429" s="135"/>
      <c r="K429" s="138"/>
      <c r="L429" s="138"/>
      <c r="M429" s="138"/>
      <c r="N429" s="138"/>
      <c r="O429" s="139"/>
      <c r="P429" s="135"/>
      <c r="Q429" s="135"/>
      <c r="R429" s="128"/>
    </row>
    <row r="430">
      <c r="A430" s="137"/>
      <c r="B430" s="135"/>
      <c r="C430" s="138"/>
      <c r="D430" s="135"/>
      <c r="E430" s="135"/>
      <c r="F430" s="138"/>
      <c r="G430" s="138"/>
      <c r="H430" s="138"/>
      <c r="I430" s="138"/>
      <c r="J430" s="135"/>
      <c r="K430" s="138"/>
      <c r="L430" s="138"/>
      <c r="M430" s="138"/>
      <c r="N430" s="138"/>
      <c r="O430" s="139"/>
      <c r="P430" s="135"/>
      <c r="Q430" s="135"/>
      <c r="R430" s="128"/>
    </row>
    <row r="431">
      <c r="A431" s="137"/>
      <c r="B431" s="135"/>
      <c r="C431" s="138"/>
      <c r="D431" s="135"/>
      <c r="E431" s="135"/>
      <c r="F431" s="138"/>
      <c r="G431" s="138"/>
      <c r="H431" s="138"/>
      <c r="I431" s="138"/>
      <c r="J431" s="135"/>
      <c r="K431" s="138"/>
      <c r="L431" s="138"/>
      <c r="M431" s="138"/>
      <c r="N431" s="138"/>
      <c r="O431" s="139"/>
      <c r="P431" s="135"/>
      <c r="Q431" s="135"/>
      <c r="R431" s="128"/>
    </row>
    <row r="432">
      <c r="A432" s="137"/>
      <c r="B432" s="135"/>
      <c r="C432" s="138"/>
      <c r="D432" s="135"/>
      <c r="E432" s="135"/>
      <c r="F432" s="138"/>
      <c r="G432" s="138"/>
      <c r="H432" s="138"/>
      <c r="I432" s="138"/>
      <c r="J432" s="135"/>
      <c r="K432" s="138"/>
      <c r="L432" s="138"/>
      <c r="M432" s="138"/>
      <c r="N432" s="138"/>
      <c r="O432" s="139"/>
      <c r="P432" s="135"/>
      <c r="Q432" s="135"/>
      <c r="R432" s="128"/>
    </row>
    <row r="433">
      <c r="A433" s="137"/>
      <c r="B433" s="135"/>
      <c r="C433" s="138"/>
      <c r="D433" s="135"/>
      <c r="E433" s="135"/>
      <c r="F433" s="138"/>
      <c r="G433" s="138"/>
      <c r="H433" s="138"/>
      <c r="I433" s="138"/>
      <c r="J433" s="135"/>
      <c r="K433" s="138"/>
      <c r="L433" s="138"/>
      <c r="M433" s="138"/>
      <c r="N433" s="138"/>
      <c r="O433" s="139"/>
      <c r="P433" s="135"/>
      <c r="Q433" s="135"/>
      <c r="R433" s="128"/>
    </row>
    <row r="434">
      <c r="A434" s="137"/>
      <c r="B434" s="135"/>
      <c r="C434" s="138"/>
      <c r="D434" s="135"/>
      <c r="E434" s="135"/>
      <c r="F434" s="138"/>
      <c r="G434" s="138"/>
      <c r="H434" s="138"/>
      <c r="I434" s="138"/>
      <c r="J434" s="135"/>
      <c r="K434" s="138"/>
      <c r="L434" s="138"/>
      <c r="M434" s="138"/>
      <c r="N434" s="138"/>
      <c r="O434" s="139"/>
      <c r="P434" s="135"/>
      <c r="Q434" s="135"/>
      <c r="R434" s="128"/>
    </row>
    <row r="435">
      <c r="A435" s="137"/>
      <c r="B435" s="135"/>
      <c r="C435" s="138"/>
      <c r="D435" s="135"/>
      <c r="E435" s="135"/>
      <c r="F435" s="138"/>
      <c r="G435" s="138"/>
      <c r="H435" s="138"/>
      <c r="I435" s="138"/>
      <c r="J435" s="135"/>
      <c r="K435" s="138"/>
      <c r="L435" s="138"/>
      <c r="M435" s="138"/>
      <c r="N435" s="138"/>
      <c r="O435" s="139"/>
      <c r="P435" s="135"/>
      <c r="Q435" s="135"/>
      <c r="R435" s="128"/>
    </row>
    <row r="436">
      <c r="A436" s="137"/>
      <c r="B436" s="135"/>
      <c r="C436" s="138"/>
      <c r="D436" s="135"/>
      <c r="E436" s="135"/>
      <c r="F436" s="138"/>
      <c r="G436" s="138"/>
      <c r="H436" s="138"/>
      <c r="I436" s="138"/>
      <c r="J436" s="135"/>
      <c r="K436" s="138"/>
      <c r="L436" s="138"/>
      <c r="M436" s="138"/>
      <c r="N436" s="138"/>
      <c r="O436" s="139"/>
      <c r="P436" s="135"/>
      <c r="Q436" s="135"/>
      <c r="R436" s="128"/>
    </row>
    <row r="437">
      <c r="A437" s="137"/>
      <c r="B437" s="135"/>
      <c r="C437" s="138"/>
      <c r="D437" s="135"/>
      <c r="E437" s="135"/>
      <c r="F437" s="138"/>
      <c r="G437" s="138"/>
      <c r="H437" s="138"/>
      <c r="I437" s="138"/>
      <c r="J437" s="135"/>
      <c r="K437" s="138"/>
      <c r="L437" s="138"/>
      <c r="M437" s="138"/>
      <c r="N437" s="138"/>
      <c r="O437" s="139"/>
      <c r="P437" s="135"/>
      <c r="Q437" s="135"/>
      <c r="R437" s="128"/>
    </row>
    <row r="438">
      <c r="A438" s="137"/>
      <c r="B438" s="135"/>
      <c r="C438" s="138"/>
      <c r="D438" s="135"/>
      <c r="E438" s="135"/>
      <c r="F438" s="138"/>
      <c r="G438" s="138"/>
      <c r="H438" s="138"/>
      <c r="I438" s="138"/>
      <c r="J438" s="135"/>
      <c r="K438" s="138"/>
      <c r="L438" s="138"/>
      <c r="M438" s="138"/>
      <c r="N438" s="138"/>
      <c r="O438" s="139"/>
      <c r="P438" s="135"/>
      <c r="Q438" s="135"/>
      <c r="R438" s="128"/>
    </row>
    <row r="439">
      <c r="A439" s="137"/>
      <c r="B439" s="135"/>
      <c r="C439" s="138"/>
      <c r="D439" s="135"/>
      <c r="E439" s="135"/>
      <c r="F439" s="138"/>
      <c r="G439" s="138"/>
      <c r="H439" s="138"/>
      <c r="I439" s="138"/>
      <c r="J439" s="135"/>
      <c r="K439" s="138"/>
      <c r="L439" s="138"/>
      <c r="M439" s="138"/>
      <c r="N439" s="138"/>
      <c r="O439" s="139"/>
      <c r="P439" s="135"/>
      <c r="Q439" s="135"/>
      <c r="R439" s="128"/>
    </row>
    <row r="440">
      <c r="A440" s="137"/>
      <c r="B440" s="135"/>
      <c r="C440" s="138"/>
      <c r="D440" s="135"/>
      <c r="E440" s="135"/>
      <c r="F440" s="138"/>
      <c r="G440" s="138"/>
      <c r="H440" s="138"/>
      <c r="I440" s="138"/>
      <c r="J440" s="135"/>
      <c r="K440" s="138"/>
      <c r="L440" s="138"/>
      <c r="M440" s="138"/>
      <c r="N440" s="138"/>
      <c r="O440" s="139"/>
      <c r="P440" s="135"/>
      <c r="Q440" s="135"/>
      <c r="R440" s="128"/>
    </row>
    <row r="441">
      <c r="A441" s="137"/>
      <c r="B441" s="135"/>
      <c r="C441" s="138"/>
      <c r="D441" s="135"/>
      <c r="E441" s="135"/>
      <c r="F441" s="138"/>
      <c r="G441" s="138"/>
      <c r="H441" s="138"/>
      <c r="I441" s="138"/>
      <c r="J441" s="135"/>
      <c r="K441" s="138"/>
      <c r="L441" s="138"/>
      <c r="M441" s="138"/>
      <c r="N441" s="138"/>
      <c r="O441" s="139"/>
      <c r="P441" s="135"/>
      <c r="Q441" s="135"/>
      <c r="R441" s="128"/>
    </row>
    <row r="442">
      <c r="A442" s="137"/>
      <c r="B442" s="135"/>
      <c r="C442" s="138"/>
      <c r="D442" s="135"/>
      <c r="E442" s="135"/>
      <c r="F442" s="138"/>
      <c r="G442" s="138"/>
      <c r="H442" s="138"/>
      <c r="I442" s="138"/>
      <c r="J442" s="135"/>
      <c r="K442" s="138"/>
      <c r="L442" s="138"/>
      <c r="M442" s="138"/>
      <c r="N442" s="138"/>
      <c r="O442" s="139"/>
      <c r="P442" s="135"/>
      <c r="Q442" s="135"/>
      <c r="R442" s="128"/>
    </row>
    <row r="443">
      <c r="A443" s="137"/>
      <c r="B443" s="135"/>
      <c r="C443" s="138"/>
      <c r="D443" s="135"/>
      <c r="E443" s="135"/>
      <c r="F443" s="138"/>
      <c r="G443" s="138"/>
      <c r="H443" s="138"/>
      <c r="I443" s="138"/>
      <c r="J443" s="135"/>
      <c r="K443" s="138"/>
      <c r="L443" s="138"/>
      <c r="M443" s="138"/>
      <c r="N443" s="138"/>
      <c r="O443" s="139"/>
      <c r="P443" s="135"/>
      <c r="Q443" s="135"/>
      <c r="R443" s="128"/>
    </row>
    <row r="444">
      <c r="A444" s="137"/>
      <c r="B444" s="135"/>
      <c r="C444" s="138"/>
      <c r="D444" s="135"/>
      <c r="E444" s="135"/>
      <c r="F444" s="138"/>
      <c r="G444" s="138"/>
      <c r="H444" s="138"/>
      <c r="I444" s="138"/>
      <c r="J444" s="135"/>
      <c r="K444" s="138"/>
      <c r="L444" s="138"/>
      <c r="M444" s="138"/>
      <c r="N444" s="138"/>
      <c r="O444" s="139"/>
      <c r="P444" s="135"/>
      <c r="Q444" s="135"/>
      <c r="R444" s="128"/>
    </row>
    <row r="445">
      <c r="A445" s="137"/>
      <c r="B445" s="135"/>
      <c r="C445" s="138"/>
      <c r="D445" s="135"/>
      <c r="E445" s="135"/>
      <c r="F445" s="138"/>
      <c r="G445" s="138"/>
      <c r="H445" s="138"/>
      <c r="I445" s="138"/>
      <c r="J445" s="135"/>
      <c r="K445" s="138"/>
      <c r="L445" s="138"/>
      <c r="M445" s="138"/>
      <c r="N445" s="138"/>
      <c r="O445" s="139"/>
      <c r="P445" s="135"/>
      <c r="Q445" s="135"/>
      <c r="R445" s="128"/>
    </row>
    <row r="446">
      <c r="A446" s="137"/>
      <c r="B446" s="135"/>
      <c r="C446" s="138"/>
      <c r="D446" s="135"/>
      <c r="E446" s="135"/>
      <c r="F446" s="138"/>
      <c r="G446" s="138"/>
      <c r="H446" s="138"/>
      <c r="I446" s="138"/>
      <c r="J446" s="135"/>
      <c r="K446" s="138"/>
      <c r="L446" s="138"/>
      <c r="M446" s="138"/>
      <c r="N446" s="138"/>
      <c r="O446" s="139"/>
      <c r="P446" s="135"/>
      <c r="Q446" s="135"/>
      <c r="R446" s="128"/>
    </row>
    <row r="447">
      <c r="A447" s="137"/>
      <c r="B447" s="135"/>
      <c r="C447" s="138"/>
      <c r="D447" s="135"/>
      <c r="E447" s="135"/>
      <c r="F447" s="138"/>
      <c r="G447" s="138"/>
      <c r="H447" s="138"/>
      <c r="I447" s="138"/>
      <c r="J447" s="135"/>
      <c r="K447" s="138"/>
      <c r="L447" s="138"/>
      <c r="M447" s="138"/>
      <c r="N447" s="138"/>
      <c r="O447" s="139"/>
      <c r="P447" s="135"/>
      <c r="Q447" s="135"/>
      <c r="R447" s="128"/>
    </row>
    <row r="448">
      <c r="A448" s="137"/>
      <c r="B448" s="135"/>
      <c r="C448" s="138"/>
      <c r="D448" s="135"/>
      <c r="E448" s="135"/>
      <c r="F448" s="138"/>
      <c r="G448" s="138"/>
      <c r="H448" s="138"/>
      <c r="I448" s="138"/>
      <c r="J448" s="135"/>
      <c r="K448" s="138"/>
      <c r="L448" s="138"/>
      <c r="M448" s="138"/>
      <c r="N448" s="138"/>
      <c r="O448" s="139"/>
      <c r="P448" s="135"/>
      <c r="Q448" s="135"/>
      <c r="R448" s="128"/>
    </row>
    <row r="449">
      <c r="A449" s="137"/>
      <c r="B449" s="135"/>
      <c r="C449" s="138"/>
      <c r="D449" s="135"/>
      <c r="E449" s="135"/>
      <c r="F449" s="138"/>
      <c r="G449" s="138"/>
      <c r="H449" s="138"/>
      <c r="I449" s="138"/>
      <c r="J449" s="135"/>
      <c r="K449" s="138"/>
      <c r="L449" s="138"/>
      <c r="M449" s="138"/>
      <c r="N449" s="138"/>
      <c r="O449" s="139"/>
      <c r="P449" s="135"/>
      <c r="Q449" s="135"/>
      <c r="R449" s="128"/>
    </row>
    <row r="450">
      <c r="A450" s="137"/>
      <c r="B450" s="135"/>
      <c r="C450" s="138"/>
      <c r="D450" s="135"/>
      <c r="E450" s="135"/>
      <c r="F450" s="138"/>
      <c r="G450" s="138"/>
      <c r="H450" s="138"/>
      <c r="I450" s="138"/>
      <c r="J450" s="135"/>
      <c r="K450" s="138"/>
      <c r="L450" s="138"/>
      <c r="M450" s="138"/>
      <c r="N450" s="138"/>
      <c r="O450" s="139"/>
      <c r="P450" s="135"/>
      <c r="Q450" s="135"/>
      <c r="R450" s="128"/>
    </row>
    <row r="451">
      <c r="A451" s="137"/>
      <c r="B451" s="135"/>
      <c r="C451" s="138"/>
      <c r="D451" s="135"/>
      <c r="E451" s="135"/>
      <c r="F451" s="138"/>
      <c r="G451" s="138"/>
      <c r="H451" s="138"/>
      <c r="I451" s="138"/>
      <c r="J451" s="135"/>
      <c r="K451" s="138"/>
      <c r="L451" s="138"/>
      <c r="M451" s="138"/>
      <c r="N451" s="138"/>
      <c r="O451" s="139"/>
      <c r="P451" s="135"/>
      <c r="Q451" s="135"/>
      <c r="R451" s="128"/>
    </row>
    <row r="452">
      <c r="A452" s="137"/>
      <c r="B452" s="135"/>
      <c r="C452" s="138"/>
      <c r="D452" s="135"/>
      <c r="E452" s="135"/>
      <c r="F452" s="138"/>
      <c r="G452" s="138"/>
      <c r="H452" s="138"/>
      <c r="I452" s="138"/>
      <c r="J452" s="135"/>
      <c r="K452" s="138"/>
      <c r="L452" s="138"/>
      <c r="M452" s="138"/>
      <c r="N452" s="138"/>
      <c r="O452" s="139"/>
      <c r="P452" s="135"/>
      <c r="Q452" s="135"/>
      <c r="R452" s="128"/>
    </row>
    <row r="453">
      <c r="A453" s="137"/>
      <c r="B453" s="135"/>
      <c r="C453" s="138"/>
      <c r="D453" s="135"/>
      <c r="E453" s="135"/>
      <c r="F453" s="138"/>
      <c r="G453" s="138"/>
      <c r="H453" s="138"/>
      <c r="I453" s="138"/>
      <c r="J453" s="135"/>
      <c r="K453" s="138"/>
      <c r="L453" s="138"/>
      <c r="M453" s="138"/>
      <c r="N453" s="138"/>
      <c r="O453" s="139"/>
      <c r="P453" s="135"/>
      <c r="Q453" s="135"/>
      <c r="R453" s="128"/>
    </row>
    <row r="454">
      <c r="A454" s="137"/>
      <c r="B454" s="135"/>
      <c r="C454" s="138"/>
      <c r="D454" s="135"/>
      <c r="E454" s="135"/>
      <c r="F454" s="138"/>
      <c r="G454" s="138"/>
      <c r="H454" s="138"/>
      <c r="I454" s="138"/>
      <c r="J454" s="135"/>
      <c r="K454" s="138"/>
      <c r="L454" s="138"/>
      <c r="M454" s="138"/>
      <c r="N454" s="138"/>
      <c r="O454" s="139"/>
      <c r="P454" s="135"/>
      <c r="Q454" s="135"/>
      <c r="R454" s="128"/>
    </row>
    <row r="455">
      <c r="A455" s="137"/>
      <c r="B455" s="135"/>
      <c r="C455" s="138"/>
      <c r="D455" s="135"/>
      <c r="E455" s="135"/>
      <c r="F455" s="138"/>
      <c r="G455" s="138"/>
      <c r="H455" s="138"/>
      <c r="I455" s="138"/>
      <c r="J455" s="135"/>
      <c r="K455" s="138"/>
      <c r="L455" s="138"/>
      <c r="M455" s="138"/>
      <c r="N455" s="138"/>
      <c r="O455" s="139"/>
      <c r="P455" s="135"/>
      <c r="Q455" s="135"/>
      <c r="R455" s="128"/>
    </row>
    <row r="456">
      <c r="A456" s="137"/>
      <c r="B456" s="135"/>
      <c r="C456" s="138"/>
      <c r="D456" s="135"/>
      <c r="E456" s="135"/>
      <c r="F456" s="138"/>
      <c r="G456" s="138"/>
      <c r="H456" s="138"/>
      <c r="I456" s="138"/>
      <c r="J456" s="135"/>
      <c r="K456" s="138"/>
      <c r="L456" s="138"/>
      <c r="M456" s="138"/>
      <c r="N456" s="138"/>
      <c r="O456" s="139"/>
      <c r="P456" s="135"/>
      <c r="Q456" s="135"/>
      <c r="R456" s="128"/>
    </row>
    <row r="457">
      <c r="A457" s="137"/>
      <c r="B457" s="135"/>
      <c r="C457" s="138"/>
      <c r="D457" s="135"/>
      <c r="E457" s="135"/>
      <c r="F457" s="138"/>
      <c r="G457" s="138"/>
      <c r="H457" s="138"/>
      <c r="I457" s="138"/>
      <c r="J457" s="135"/>
      <c r="K457" s="138"/>
      <c r="L457" s="138"/>
      <c r="M457" s="138"/>
      <c r="N457" s="138"/>
      <c r="O457" s="139"/>
      <c r="P457" s="135"/>
      <c r="Q457" s="135"/>
      <c r="R457" s="128"/>
    </row>
    <row r="458">
      <c r="A458" s="137"/>
      <c r="B458" s="135"/>
      <c r="C458" s="138"/>
      <c r="D458" s="135"/>
      <c r="E458" s="135"/>
      <c r="F458" s="138"/>
      <c r="G458" s="138"/>
      <c r="H458" s="138"/>
      <c r="I458" s="138"/>
      <c r="J458" s="135"/>
      <c r="K458" s="138"/>
      <c r="L458" s="138"/>
      <c r="M458" s="138"/>
      <c r="N458" s="138"/>
      <c r="O458" s="139"/>
      <c r="P458" s="135"/>
      <c r="Q458" s="135"/>
      <c r="R458" s="128"/>
    </row>
    <row r="459">
      <c r="A459" s="137"/>
      <c r="B459" s="135"/>
      <c r="C459" s="138"/>
      <c r="D459" s="135"/>
      <c r="E459" s="135"/>
      <c r="F459" s="138"/>
      <c r="G459" s="138"/>
      <c r="H459" s="138"/>
      <c r="I459" s="138"/>
      <c r="J459" s="135"/>
      <c r="K459" s="138"/>
      <c r="L459" s="138"/>
      <c r="M459" s="138"/>
      <c r="N459" s="138"/>
      <c r="O459" s="139"/>
      <c r="P459" s="135"/>
      <c r="Q459" s="135"/>
      <c r="R459" s="128"/>
    </row>
    <row r="460">
      <c r="A460" s="137"/>
      <c r="B460" s="135"/>
      <c r="C460" s="138"/>
      <c r="D460" s="135"/>
      <c r="E460" s="135"/>
      <c r="F460" s="138"/>
      <c r="G460" s="138"/>
      <c r="H460" s="138"/>
      <c r="I460" s="138"/>
      <c r="J460" s="135"/>
      <c r="K460" s="138"/>
      <c r="L460" s="138"/>
      <c r="M460" s="138"/>
      <c r="N460" s="138"/>
      <c r="O460" s="139"/>
      <c r="P460" s="135"/>
      <c r="Q460" s="135"/>
      <c r="R460" s="128"/>
    </row>
    <row r="461">
      <c r="A461" s="137"/>
      <c r="B461" s="135"/>
      <c r="C461" s="138"/>
      <c r="D461" s="135"/>
      <c r="E461" s="135"/>
      <c r="F461" s="138"/>
      <c r="G461" s="138"/>
      <c r="H461" s="138"/>
      <c r="I461" s="138"/>
      <c r="J461" s="135"/>
      <c r="K461" s="138"/>
      <c r="L461" s="138"/>
      <c r="M461" s="138"/>
      <c r="N461" s="138"/>
      <c r="O461" s="139"/>
      <c r="P461" s="135"/>
      <c r="Q461" s="135"/>
      <c r="R461" s="128"/>
    </row>
    <row r="462">
      <c r="A462" s="137"/>
      <c r="B462" s="135"/>
      <c r="C462" s="138"/>
      <c r="D462" s="135"/>
      <c r="E462" s="135"/>
      <c r="F462" s="138"/>
      <c r="G462" s="138"/>
      <c r="H462" s="138"/>
      <c r="I462" s="138"/>
      <c r="J462" s="135"/>
      <c r="K462" s="138"/>
      <c r="L462" s="138"/>
      <c r="M462" s="138"/>
      <c r="N462" s="138"/>
      <c r="O462" s="139"/>
      <c r="P462" s="135"/>
      <c r="Q462" s="135"/>
      <c r="R462" s="128"/>
    </row>
    <row r="463">
      <c r="A463" s="137"/>
      <c r="B463" s="135"/>
      <c r="C463" s="138"/>
      <c r="D463" s="135"/>
      <c r="E463" s="135"/>
      <c r="F463" s="138"/>
      <c r="G463" s="138"/>
      <c r="H463" s="138"/>
      <c r="I463" s="138"/>
      <c r="J463" s="135"/>
      <c r="K463" s="138"/>
      <c r="L463" s="138"/>
      <c r="M463" s="138"/>
      <c r="N463" s="138"/>
      <c r="O463" s="139"/>
      <c r="P463" s="135"/>
      <c r="Q463" s="135"/>
      <c r="R463" s="128"/>
    </row>
    <row r="464">
      <c r="A464" s="137"/>
      <c r="B464" s="135"/>
      <c r="C464" s="138"/>
      <c r="D464" s="135"/>
      <c r="E464" s="135"/>
      <c r="F464" s="138"/>
      <c r="G464" s="138"/>
      <c r="H464" s="138"/>
      <c r="I464" s="138"/>
      <c r="J464" s="135"/>
      <c r="K464" s="138"/>
      <c r="L464" s="138"/>
      <c r="M464" s="138"/>
      <c r="N464" s="138"/>
      <c r="O464" s="139"/>
      <c r="P464" s="135"/>
      <c r="Q464" s="135"/>
      <c r="R464" s="128"/>
    </row>
    <row r="465">
      <c r="A465" s="137"/>
      <c r="B465" s="135"/>
      <c r="C465" s="138"/>
      <c r="D465" s="135"/>
      <c r="E465" s="135"/>
      <c r="F465" s="138"/>
      <c r="G465" s="138"/>
      <c r="H465" s="138"/>
      <c r="I465" s="138"/>
      <c r="J465" s="135"/>
      <c r="K465" s="138"/>
      <c r="L465" s="138"/>
      <c r="M465" s="138"/>
      <c r="N465" s="138"/>
      <c r="O465" s="139"/>
      <c r="P465" s="135"/>
      <c r="Q465" s="135"/>
      <c r="R465" s="128"/>
    </row>
    <row r="466">
      <c r="A466" s="137"/>
      <c r="B466" s="135"/>
      <c r="C466" s="138"/>
      <c r="D466" s="135"/>
      <c r="E466" s="135"/>
      <c r="F466" s="138"/>
      <c r="G466" s="138"/>
      <c r="H466" s="138"/>
      <c r="I466" s="138"/>
      <c r="J466" s="135"/>
      <c r="K466" s="138"/>
      <c r="L466" s="138"/>
      <c r="M466" s="138"/>
      <c r="N466" s="138"/>
      <c r="O466" s="139"/>
      <c r="P466" s="135"/>
      <c r="Q466" s="135"/>
      <c r="R466" s="128"/>
    </row>
    <row r="467">
      <c r="A467" s="137"/>
      <c r="B467" s="135"/>
      <c r="C467" s="138"/>
      <c r="D467" s="135"/>
      <c r="E467" s="135"/>
      <c r="F467" s="138"/>
      <c r="G467" s="138"/>
      <c r="H467" s="138"/>
      <c r="I467" s="138"/>
      <c r="J467" s="135"/>
      <c r="K467" s="138"/>
      <c r="L467" s="138"/>
      <c r="M467" s="138"/>
      <c r="N467" s="138"/>
      <c r="O467" s="139"/>
      <c r="P467" s="135"/>
      <c r="Q467" s="135"/>
      <c r="R467" s="128"/>
    </row>
    <row r="468">
      <c r="A468" s="137"/>
      <c r="B468" s="135"/>
      <c r="C468" s="138"/>
      <c r="D468" s="135"/>
      <c r="E468" s="135"/>
      <c r="F468" s="138"/>
      <c r="G468" s="138"/>
      <c r="H468" s="138"/>
      <c r="I468" s="138"/>
      <c r="J468" s="135"/>
      <c r="K468" s="138"/>
      <c r="L468" s="138"/>
      <c r="M468" s="138"/>
      <c r="N468" s="138"/>
      <c r="O468" s="139"/>
      <c r="P468" s="135"/>
      <c r="Q468" s="135"/>
      <c r="R468" s="128"/>
    </row>
    <row r="469">
      <c r="A469" s="137"/>
      <c r="B469" s="135"/>
      <c r="C469" s="138"/>
      <c r="D469" s="135"/>
      <c r="E469" s="135"/>
      <c r="F469" s="138"/>
      <c r="G469" s="138"/>
      <c r="H469" s="138"/>
      <c r="I469" s="138"/>
      <c r="J469" s="135"/>
      <c r="K469" s="138"/>
      <c r="L469" s="138"/>
      <c r="M469" s="138"/>
      <c r="N469" s="138"/>
      <c r="O469" s="139"/>
      <c r="P469" s="135"/>
      <c r="Q469" s="135"/>
      <c r="R469" s="128"/>
    </row>
    <row r="470">
      <c r="A470" s="137"/>
      <c r="B470" s="135"/>
      <c r="C470" s="138"/>
      <c r="D470" s="135"/>
      <c r="E470" s="135"/>
      <c r="F470" s="138"/>
      <c r="G470" s="138"/>
      <c r="H470" s="138"/>
      <c r="I470" s="138"/>
      <c r="J470" s="135"/>
      <c r="K470" s="138"/>
      <c r="L470" s="138"/>
      <c r="M470" s="138"/>
      <c r="N470" s="138"/>
      <c r="O470" s="139"/>
      <c r="P470" s="135"/>
      <c r="Q470" s="135"/>
      <c r="R470" s="128"/>
    </row>
    <row r="471">
      <c r="A471" s="137"/>
      <c r="B471" s="135"/>
      <c r="C471" s="138"/>
      <c r="D471" s="135"/>
      <c r="E471" s="135"/>
      <c r="F471" s="138"/>
      <c r="G471" s="138"/>
      <c r="H471" s="138"/>
      <c r="I471" s="138"/>
      <c r="J471" s="135"/>
      <c r="K471" s="138"/>
      <c r="L471" s="138"/>
      <c r="M471" s="138"/>
      <c r="N471" s="138"/>
      <c r="O471" s="139"/>
      <c r="P471" s="135"/>
      <c r="Q471" s="135"/>
      <c r="R471" s="128"/>
    </row>
    <row r="472">
      <c r="A472" s="137"/>
      <c r="B472" s="135"/>
      <c r="C472" s="138"/>
      <c r="D472" s="135"/>
      <c r="E472" s="135"/>
      <c r="F472" s="138"/>
      <c r="G472" s="138"/>
      <c r="H472" s="138"/>
      <c r="I472" s="138"/>
      <c r="J472" s="135"/>
      <c r="K472" s="138"/>
      <c r="L472" s="138"/>
      <c r="M472" s="138"/>
      <c r="N472" s="138"/>
      <c r="O472" s="139"/>
      <c r="P472" s="135"/>
      <c r="Q472" s="135"/>
      <c r="R472" s="128"/>
    </row>
    <row r="473">
      <c r="A473" s="137"/>
      <c r="B473" s="135"/>
      <c r="C473" s="138"/>
      <c r="D473" s="135"/>
      <c r="E473" s="135"/>
      <c r="F473" s="138"/>
      <c r="G473" s="138"/>
      <c r="H473" s="138"/>
      <c r="I473" s="138"/>
      <c r="J473" s="135"/>
      <c r="K473" s="138"/>
      <c r="L473" s="138"/>
      <c r="M473" s="138"/>
      <c r="N473" s="138"/>
      <c r="O473" s="139"/>
      <c r="P473" s="135"/>
      <c r="Q473" s="135"/>
      <c r="R473" s="128"/>
    </row>
    <row r="474">
      <c r="A474" s="137"/>
      <c r="B474" s="135"/>
      <c r="C474" s="138"/>
      <c r="D474" s="135"/>
      <c r="E474" s="135"/>
      <c r="F474" s="138"/>
      <c r="G474" s="138"/>
      <c r="H474" s="138"/>
      <c r="I474" s="138"/>
      <c r="J474" s="135"/>
      <c r="K474" s="138"/>
      <c r="L474" s="138"/>
      <c r="M474" s="138"/>
      <c r="N474" s="138"/>
      <c r="O474" s="139"/>
      <c r="P474" s="135"/>
      <c r="Q474" s="135"/>
      <c r="R474" s="128"/>
    </row>
    <row r="475">
      <c r="A475" s="137"/>
      <c r="B475" s="135"/>
      <c r="C475" s="138"/>
      <c r="D475" s="135"/>
      <c r="E475" s="135"/>
      <c r="F475" s="138"/>
      <c r="G475" s="138"/>
      <c r="H475" s="138"/>
      <c r="I475" s="138"/>
      <c r="J475" s="135"/>
      <c r="K475" s="138"/>
      <c r="L475" s="138"/>
      <c r="M475" s="138"/>
      <c r="N475" s="138"/>
      <c r="O475" s="139"/>
      <c r="P475" s="135"/>
      <c r="Q475" s="135"/>
      <c r="R475" s="128"/>
    </row>
    <row r="476">
      <c r="A476" s="137"/>
      <c r="B476" s="135"/>
      <c r="C476" s="138"/>
      <c r="D476" s="135"/>
      <c r="E476" s="135"/>
      <c r="F476" s="138"/>
      <c r="G476" s="138"/>
      <c r="H476" s="138"/>
      <c r="I476" s="138"/>
      <c r="J476" s="135"/>
      <c r="K476" s="138"/>
      <c r="L476" s="138"/>
      <c r="M476" s="138"/>
      <c r="N476" s="138"/>
      <c r="O476" s="139"/>
      <c r="P476" s="135"/>
      <c r="Q476" s="135"/>
      <c r="R476" s="128"/>
    </row>
    <row r="477">
      <c r="A477" s="137"/>
      <c r="B477" s="135"/>
      <c r="C477" s="138"/>
      <c r="D477" s="135"/>
      <c r="E477" s="135"/>
      <c r="F477" s="138"/>
      <c r="G477" s="138"/>
      <c r="H477" s="138"/>
      <c r="I477" s="138"/>
      <c r="J477" s="135"/>
      <c r="K477" s="138"/>
      <c r="L477" s="138"/>
      <c r="M477" s="138"/>
      <c r="N477" s="138"/>
      <c r="O477" s="139"/>
      <c r="P477" s="135"/>
      <c r="Q477" s="135"/>
      <c r="R477" s="128"/>
    </row>
    <row r="478">
      <c r="A478" s="137"/>
      <c r="B478" s="135"/>
      <c r="C478" s="138"/>
      <c r="D478" s="135"/>
      <c r="E478" s="135"/>
      <c r="F478" s="138"/>
      <c r="G478" s="138"/>
      <c r="H478" s="138"/>
      <c r="I478" s="138"/>
      <c r="J478" s="135"/>
      <c r="K478" s="138"/>
      <c r="L478" s="138"/>
      <c r="M478" s="138"/>
      <c r="N478" s="138"/>
      <c r="O478" s="139"/>
      <c r="P478" s="135"/>
      <c r="Q478" s="135"/>
      <c r="R478" s="128"/>
    </row>
    <row r="479">
      <c r="A479" s="137"/>
      <c r="B479" s="135"/>
      <c r="C479" s="138"/>
      <c r="D479" s="135"/>
      <c r="E479" s="135"/>
      <c r="F479" s="138"/>
      <c r="G479" s="138"/>
      <c r="H479" s="138"/>
      <c r="I479" s="138"/>
      <c r="J479" s="135"/>
      <c r="K479" s="138"/>
      <c r="L479" s="138"/>
      <c r="M479" s="138"/>
      <c r="N479" s="138"/>
      <c r="O479" s="139"/>
      <c r="P479" s="135"/>
      <c r="Q479" s="135"/>
      <c r="R479" s="128"/>
    </row>
    <row r="480">
      <c r="A480" s="137"/>
      <c r="B480" s="135"/>
      <c r="C480" s="138"/>
      <c r="D480" s="135"/>
      <c r="E480" s="135"/>
      <c r="F480" s="138"/>
      <c r="G480" s="138"/>
      <c r="H480" s="138"/>
      <c r="I480" s="138"/>
      <c r="J480" s="135"/>
      <c r="K480" s="138"/>
      <c r="L480" s="138"/>
      <c r="M480" s="138"/>
      <c r="N480" s="138"/>
      <c r="O480" s="139"/>
      <c r="P480" s="135"/>
      <c r="Q480" s="135"/>
      <c r="R480" s="128"/>
    </row>
    <row r="481">
      <c r="A481" s="137"/>
      <c r="B481" s="135"/>
      <c r="C481" s="138"/>
      <c r="D481" s="135"/>
      <c r="E481" s="135"/>
      <c r="F481" s="138"/>
      <c r="G481" s="138"/>
      <c r="H481" s="138"/>
      <c r="I481" s="138"/>
      <c r="J481" s="135"/>
      <c r="K481" s="138"/>
      <c r="L481" s="138"/>
      <c r="M481" s="138"/>
      <c r="N481" s="138"/>
      <c r="O481" s="139"/>
      <c r="P481" s="135"/>
      <c r="Q481" s="135"/>
      <c r="R481" s="128"/>
    </row>
    <row r="482">
      <c r="A482" s="137"/>
      <c r="B482" s="135"/>
      <c r="C482" s="138"/>
      <c r="D482" s="135"/>
      <c r="E482" s="135"/>
      <c r="F482" s="138"/>
      <c r="G482" s="138"/>
      <c r="H482" s="138"/>
      <c r="I482" s="138"/>
      <c r="J482" s="135"/>
      <c r="K482" s="138"/>
      <c r="L482" s="138"/>
      <c r="M482" s="138"/>
      <c r="N482" s="138"/>
      <c r="O482" s="139"/>
      <c r="P482" s="135"/>
      <c r="Q482" s="135"/>
      <c r="R482" s="128"/>
    </row>
    <row r="483">
      <c r="A483" s="137"/>
      <c r="B483" s="135"/>
      <c r="C483" s="138"/>
      <c r="D483" s="135"/>
      <c r="E483" s="135"/>
      <c r="F483" s="138"/>
      <c r="G483" s="138"/>
      <c r="H483" s="138"/>
      <c r="I483" s="138"/>
      <c r="J483" s="135"/>
      <c r="K483" s="138"/>
      <c r="L483" s="138"/>
      <c r="M483" s="138"/>
      <c r="N483" s="138"/>
      <c r="O483" s="139"/>
      <c r="P483" s="135"/>
      <c r="Q483" s="135"/>
      <c r="R483" s="128"/>
    </row>
    <row r="484">
      <c r="A484" s="137"/>
      <c r="B484" s="135"/>
      <c r="C484" s="138"/>
      <c r="D484" s="135"/>
      <c r="E484" s="135"/>
      <c r="F484" s="138"/>
      <c r="G484" s="138"/>
      <c r="H484" s="138"/>
      <c r="I484" s="138"/>
      <c r="J484" s="135"/>
      <c r="K484" s="138"/>
      <c r="L484" s="138"/>
      <c r="M484" s="138"/>
      <c r="N484" s="138"/>
      <c r="O484" s="139"/>
      <c r="P484" s="135"/>
      <c r="Q484" s="135"/>
      <c r="R484" s="128"/>
    </row>
    <row r="485">
      <c r="A485" s="137"/>
      <c r="B485" s="135"/>
      <c r="C485" s="138"/>
      <c r="D485" s="135"/>
      <c r="E485" s="135"/>
      <c r="F485" s="138"/>
      <c r="G485" s="138"/>
      <c r="H485" s="138"/>
      <c r="I485" s="138"/>
      <c r="J485" s="135"/>
      <c r="K485" s="138"/>
      <c r="L485" s="138"/>
      <c r="M485" s="138"/>
      <c r="N485" s="138"/>
      <c r="O485" s="139"/>
      <c r="P485" s="135"/>
      <c r="Q485" s="135"/>
      <c r="R485" s="128"/>
    </row>
    <row r="486">
      <c r="A486" s="137"/>
      <c r="B486" s="135"/>
      <c r="C486" s="138"/>
      <c r="D486" s="135"/>
      <c r="E486" s="135"/>
      <c r="F486" s="138"/>
      <c r="G486" s="138"/>
      <c r="H486" s="138"/>
      <c r="I486" s="138"/>
      <c r="J486" s="135"/>
      <c r="K486" s="138"/>
      <c r="L486" s="138"/>
      <c r="M486" s="138"/>
      <c r="N486" s="138"/>
      <c r="O486" s="139"/>
      <c r="P486" s="135"/>
      <c r="Q486" s="135"/>
      <c r="R486" s="128"/>
    </row>
    <row r="487">
      <c r="A487" s="137"/>
      <c r="B487" s="135"/>
      <c r="C487" s="138"/>
      <c r="D487" s="135"/>
      <c r="E487" s="135"/>
      <c r="F487" s="138"/>
      <c r="G487" s="138"/>
      <c r="H487" s="138"/>
      <c r="I487" s="138"/>
      <c r="J487" s="135"/>
      <c r="K487" s="138"/>
      <c r="L487" s="138"/>
      <c r="M487" s="138"/>
      <c r="N487" s="138"/>
      <c r="O487" s="139"/>
      <c r="P487" s="135"/>
      <c r="Q487" s="135"/>
      <c r="R487" s="128"/>
    </row>
    <row r="488">
      <c r="A488" s="137"/>
      <c r="B488" s="135"/>
      <c r="C488" s="138"/>
      <c r="D488" s="135"/>
      <c r="E488" s="135"/>
      <c r="F488" s="138"/>
      <c r="G488" s="138"/>
      <c r="H488" s="138"/>
      <c r="I488" s="138"/>
      <c r="J488" s="135"/>
      <c r="K488" s="138"/>
      <c r="L488" s="138"/>
      <c r="M488" s="138"/>
      <c r="N488" s="138"/>
      <c r="O488" s="139"/>
      <c r="P488" s="135"/>
      <c r="Q488" s="135"/>
      <c r="R488" s="128"/>
    </row>
    <row r="489">
      <c r="A489" s="137"/>
      <c r="B489" s="135"/>
      <c r="C489" s="138"/>
      <c r="D489" s="135"/>
      <c r="E489" s="135"/>
      <c r="F489" s="138"/>
      <c r="G489" s="138"/>
      <c r="H489" s="138"/>
      <c r="I489" s="138"/>
      <c r="J489" s="135"/>
      <c r="K489" s="138"/>
      <c r="L489" s="138"/>
      <c r="M489" s="138"/>
      <c r="N489" s="138"/>
      <c r="O489" s="139"/>
      <c r="P489" s="135"/>
      <c r="Q489" s="135"/>
      <c r="R489" s="128"/>
    </row>
    <row r="490">
      <c r="A490" s="137"/>
      <c r="B490" s="135"/>
      <c r="C490" s="138"/>
      <c r="D490" s="135"/>
      <c r="E490" s="135"/>
      <c r="F490" s="138"/>
      <c r="G490" s="138"/>
      <c r="H490" s="138"/>
      <c r="I490" s="138"/>
      <c r="J490" s="135"/>
      <c r="K490" s="138"/>
      <c r="L490" s="138"/>
      <c r="M490" s="138"/>
      <c r="N490" s="138"/>
      <c r="O490" s="139"/>
      <c r="P490" s="135"/>
      <c r="Q490" s="135"/>
      <c r="R490" s="128"/>
    </row>
    <row r="491">
      <c r="A491" s="137"/>
      <c r="B491" s="135"/>
      <c r="C491" s="138"/>
      <c r="D491" s="135"/>
      <c r="E491" s="135"/>
      <c r="F491" s="138"/>
      <c r="G491" s="138"/>
      <c r="H491" s="138"/>
      <c r="I491" s="138"/>
      <c r="J491" s="135"/>
      <c r="K491" s="138"/>
      <c r="L491" s="138"/>
      <c r="M491" s="138"/>
      <c r="N491" s="138"/>
      <c r="O491" s="139"/>
      <c r="P491" s="135"/>
      <c r="Q491" s="135"/>
      <c r="R491" s="128"/>
    </row>
    <row r="492">
      <c r="A492" s="137"/>
      <c r="B492" s="135"/>
      <c r="C492" s="138"/>
      <c r="D492" s="135"/>
      <c r="E492" s="135"/>
      <c r="F492" s="138"/>
      <c r="G492" s="138"/>
      <c r="H492" s="138"/>
      <c r="I492" s="138"/>
      <c r="J492" s="135"/>
      <c r="K492" s="138"/>
      <c r="L492" s="138"/>
      <c r="M492" s="138"/>
      <c r="N492" s="138"/>
      <c r="O492" s="139"/>
      <c r="P492" s="135"/>
      <c r="Q492" s="135"/>
      <c r="R492" s="128"/>
    </row>
    <row r="493">
      <c r="A493" s="137"/>
      <c r="B493" s="135"/>
      <c r="C493" s="138"/>
      <c r="D493" s="135"/>
      <c r="E493" s="135"/>
      <c r="F493" s="138"/>
      <c r="G493" s="138"/>
      <c r="H493" s="138"/>
      <c r="I493" s="138"/>
      <c r="J493" s="135"/>
      <c r="K493" s="138"/>
      <c r="L493" s="138"/>
      <c r="M493" s="138"/>
      <c r="N493" s="138"/>
      <c r="O493" s="139"/>
      <c r="P493" s="135"/>
      <c r="Q493" s="135"/>
      <c r="R493" s="128"/>
    </row>
    <row r="494">
      <c r="A494" s="137"/>
      <c r="B494" s="135"/>
      <c r="C494" s="138"/>
      <c r="D494" s="135"/>
      <c r="E494" s="135"/>
      <c r="F494" s="138"/>
      <c r="G494" s="138"/>
      <c r="H494" s="138"/>
      <c r="I494" s="138"/>
      <c r="J494" s="135"/>
      <c r="K494" s="138"/>
      <c r="L494" s="138"/>
      <c r="M494" s="138"/>
      <c r="N494" s="138"/>
      <c r="O494" s="139"/>
      <c r="P494" s="135"/>
      <c r="Q494" s="135"/>
      <c r="R494" s="128"/>
    </row>
    <row r="495">
      <c r="A495" s="137"/>
      <c r="B495" s="135"/>
      <c r="C495" s="138"/>
      <c r="D495" s="135"/>
      <c r="E495" s="135"/>
      <c r="F495" s="138"/>
      <c r="G495" s="138"/>
      <c r="H495" s="138"/>
      <c r="I495" s="138"/>
      <c r="J495" s="135"/>
      <c r="K495" s="138"/>
      <c r="L495" s="138"/>
      <c r="M495" s="138"/>
      <c r="N495" s="138"/>
      <c r="O495" s="139"/>
      <c r="P495" s="135"/>
      <c r="Q495" s="135"/>
      <c r="R495" s="128"/>
    </row>
    <row r="496">
      <c r="A496" s="137"/>
      <c r="B496" s="135"/>
      <c r="C496" s="138"/>
      <c r="D496" s="135"/>
      <c r="E496" s="135"/>
      <c r="F496" s="138"/>
      <c r="G496" s="138"/>
      <c r="H496" s="138"/>
      <c r="I496" s="138"/>
      <c r="J496" s="135"/>
      <c r="K496" s="138"/>
      <c r="L496" s="138"/>
      <c r="M496" s="138"/>
      <c r="N496" s="138"/>
      <c r="O496" s="139"/>
      <c r="P496" s="135"/>
      <c r="Q496" s="135"/>
      <c r="R496" s="128"/>
    </row>
    <row r="497">
      <c r="A497" s="137"/>
      <c r="B497" s="135"/>
      <c r="C497" s="138"/>
      <c r="D497" s="135"/>
      <c r="E497" s="135"/>
      <c r="F497" s="138"/>
      <c r="G497" s="138"/>
      <c r="H497" s="138"/>
      <c r="I497" s="138"/>
      <c r="J497" s="135"/>
      <c r="K497" s="138"/>
      <c r="L497" s="138"/>
      <c r="M497" s="138"/>
      <c r="N497" s="138"/>
      <c r="O497" s="139"/>
      <c r="P497" s="135"/>
      <c r="Q497" s="135"/>
      <c r="R497" s="128"/>
    </row>
    <row r="498">
      <c r="A498" s="137"/>
      <c r="B498" s="135"/>
      <c r="C498" s="138"/>
      <c r="D498" s="135"/>
      <c r="E498" s="135"/>
      <c r="F498" s="138"/>
      <c r="G498" s="138"/>
      <c r="H498" s="138"/>
      <c r="I498" s="138"/>
      <c r="J498" s="135"/>
      <c r="K498" s="138"/>
      <c r="L498" s="138"/>
      <c r="M498" s="138"/>
      <c r="N498" s="138"/>
      <c r="O498" s="139"/>
      <c r="P498" s="135"/>
      <c r="Q498" s="135"/>
      <c r="R498" s="128"/>
    </row>
    <row r="499">
      <c r="A499" s="137"/>
      <c r="B499" s="135"/>
      <c r="C499" s="138"/>
      <c r="D499" s="135"/>
      <c r="E499" s="135"/>
      <c r="F499" s="138"/>
      <c r="G499" s="138"/>
      <c r="H499" s="138"/>
      <c r="I499" s="138"/>
      <c r="J499" s="135"/>
      <c r="K499" s="138"/>
      <c r="L499" s="138"/>
      <c r="M499" s="138"/>
      <c r="N499" s="138"/>
      <c r="O499" s="139"/>
      <c r="P499" s="135"/>
      <c r="Q499" s="135"/>
      <c r="R499" s="128"/>
    </row>
    <row r="500">
      <c r="A500" s="137"/>
      <c r="B500" s="135"/>
      <c r="C500" s="138"/>
      <c r="D500" s="135"/>
      <c r="E500" s="135"/>
      <c r="F500" s="138"/>
      <c r="G500" s="138"/>
      <c r="H500" s="138"/>
      <c r="I500" s="138"/>
      <c r="J500" s="135"/>
      <c r="K500" s="138"/>
      <c r="L500" s="138"/>
      <c r="M500" s="138"/>
      <c r="N500" s="138"/>
      <c r="O500" s="139"/>
      <c r="P500" s="135"/>
      <c r="Q500" s="135"/>
      <c r="R500" s="128"/>
    </row>
    <row r="501">
      <c r="A501" s="137"/>
      <c r="B501" s="135"/>
      <c r="C501" s="138"/>
      <c r="D501" s="135"/>
      <c r="E501" s="135"/>
      <c r="F501" s="138"/>
      <c r="G501" s="138"/>
      <c r="H501" s="138"/>
      <c r="I501" s="138"/>
      <c r="J501" s="135"/>
      <c r="K501" s="138"/>
      <c r="L501" s="138"/>
      <c r="M501" s="138"/>
      <c r="N501" s="138"/>
      <c r="O501" s="139"/>
      <c r="P501" s="135"/>
      <c r="Q501" s="135"/>
      <c r="R501" s="128"/>
    </row>
    <row r="502">
      <c r="A502" s="137"/>
      <c r="B502" s="135"/>
      <c r="C502" s="138"/>
      <c r="D502" s="135"/>
      <c r="E502" s="135"/>
      <c r="F502" s="138"/>
      <c r="G502" s="138"/>
      <c r="H502" s="138"/>
      <c r="I502" s="138"/>
      <c r="J502" s="135"/>
      <c r="K502" s="138"/>
      <c r="L502" s="138"/>
      <c r="M502" s="138"/>
      <c r="N502" s="138"/>
      <c r="O502" s="139"/>
      <c r="P502" s="135"/>
      <c r="Q502" s="135"/>
      <c r="R502" s="128"/>
    </row>
    <row r="503">
      <c r="A503" s="137"/>
      <c r="B503" s="135"/>
      <c r="C503" s="138"/>
      <c r="D503" s="135"/>
      <c r="E503" s="135"/>
      <c r="F503" s="138"/>
      <c r="G503" s="138"/>
      <c r="H503" s="138"/>
      <c r="I503" s="138"/>
      <c r="J503" s="135"/>
      <c r="K503" s="138"/>
      <c r="L503" s="138"/>
      <c r="M503" s="138"/>
      <c r="N503" s="138"/>
      <c r="O503" s="139"/>
      <c r="P503" s="135"/>
      <c r="Q503" s="135"/>
      <c r="R503" s="128"/>
    </row>
    <row r="504">
      <c r="A504" s="137"/>
      <c r="B504" s="135"/>
      <c r="C504" s="138"/>
      <c r="D504" s="135"/>
      <c r="E504" s="135"/>
      <c r="F504" s="138"/>
      <c r="G504" s="138"/>
      <c r="H504" s="138"/>
      <c r="I504" s="138"/>
      <c r="J504" s="135"/>
      <c r="K504" s="138"/>
      <c r="L504" s="138"/>
      <c r="M504" s="138"/>
      <c r="N504" s="138"/>
      <c r="O504" s="139"/>
      <c r="P504" s="135"/>
      <c r="Q504" s="135"/>
      <c r="R504" s="128"/>
    </row>
    <row r="505">
      <c r="A505" s="137"/>
      <c r="B505" s="135"/>
      <c r="C505" s="138"/>
      <c r="D505" s="135"/>
      <c r="E505" s="135"/>
      <c r="F505" s="138"/>
      <c r="G505" s="138"/>
      <c r="H505" s="138"/>
      <c r="I505" s="138"/>
      <c r="J505" s="135"/>
      <c r="K505" s="138"/>
      <c r="L505" s="138"/>
      <c r="M505" s="138"/>
      <c r="N505" s="138"/>
      <c r="O505" s="139"/>
      <c r="P505" s="135"/>
      <c r="Q505" s="135"/>
      <c r="R505" s="128"/>
    </row>
    <row r="506">
      <c r="A506" s="137"/>
      <c r="B506" s="135"/>
      <c r="C506" s="138"/>
      <c r="D506" s="135"/>
      <c r="E506" s="135"/>
      <c r="F506" s="138"/>
      <c r="G506" s="138"/>
      <c r="H506" s="138"/>
      <c r="I506" s="138"/>
      <c r="J506" s="135"/>
      <c r="K506" s="138"/>
      <c r="L506" s="138"/>
      <c r="M506" s="138"/>
      <c r="N506" s="138"/>
      <c r="O506" s="139"/>
      <c r="P506" s="135"/>
      <c r="Q506" s="135"/>
      <c r="R506" s="128"/>
    </row>
    <row r="507">
      <c r="A507" s="137"/>
      <c r="B507" s="135"/>
      <c r="C507" s="138"/>
      <c r="D507" s="135"/>
      <c r="E507" s="135"/>
      <c r="F507" s="138"/>
      <c r="G507" s="138"/>
      <c r="H507" s="138"/>
      <c r="I507" s="138"/>
      <c r="J507" s="135"/>
      <c r="K507" s="138"/>
      <c r="L507" s="138"/>
      <c r="M507" s="138"/>
      <c r="N507" s="138"/>
      <c r="O507" s="139"/>
      <c r="P507" s="135"/>
      <c r="Q507" s="135"/>
      <c r="R507" s="128"/>
    </row>
    <row r="508">
      <c r="A508" s="137"/>
      <c r="B508" s="135"/>
      <c r="C508" s="138"/>
      <c r="D508" s="135"/>
      <c r="E508" s="135"/>
      <c r="F508" s="138"/>
      <c r="G508" s="138"/>
      <c r="H508" s="138"/>
      <c r="I508" s="138"/>
      <c r="J508" s="135"/>
      <c r="K508" s="138"/>
      <c r="L508" s="138"/>
      <c r="M508" s="138"/>
      <c r="N508" s="138"/>
      <c r="O508" s="139"/>
      <c r="P508" s="135"/>
      <c r="Q508" s="135"/>
      <c r="R508" s="128"/>
    </row>
    <row r="509">
      <c r="A509" s="137"/>
      <c r="B509" s="135"/>
      <c r="C509" s="138"/>
      <c r="D509" s="135"/>
      <c r="E509" s="135"/>
      <c r="F509" s="138"/>
      <c r="G509" s="138"/>
      <c r="H509" s="138"/>
      <c r="I509" s="138"/>
      <c r="J509" s="135"/>
      <c r="K509" s="138"/>
      <c r="L509" s="138"/>
      <c r="M509" s="138"/>
      <c r="N509" s="138"/>
      <c r="O509" s="139"/>
      <c r="P509" s="135"/>
      <c r="Q509" s="135"/>
      <c r="R509" s="128"/>
    </row>
    <row r="510">
      <c r="A510" s="137"/>
      <c r="B510" s="135"/>
      <c r="C510" s="138"/>
      <c r="D510" s="135"/>
      <c r="E510" s="135"/>
      <c r="F510" s="138"/>
      <c r="G510" s="138"/>
      <c r="H510" s="138"/>
      <c r="I510" s="138"/>
      <c r="J510" s="135"/>
      <c r="K510" s="138"/>
      <c r="L510" s="138"/>
      <c r="M510" s="138"/>
      <c r="N510" s="138"/>
      <c r="O510" s="139"/>
      <c r="P510" s="135"/>
      <c r="Q510" s="135"/>
      <c r="R510" s="128"/>
    </row>
    <row r="511">
      <c r="A511" s="137"/>
      <c r="B511" s="135"/>
      <c r="C511" s="138"/>
      <c r="D511" s="135"/>
      <c r="E511" s="135"/>
      <c r="F511" s="138"/>
      <c r="G511" s="138"/>
      <c r="H511" s="138"/>
      <c r="I511" s="138"/>
      <c r="J511" s="135"/>
      <c r="K511" s="138"/>
      <c r="L511" s="138"/>
      <c r="M511" s="138"/>
      <c r="N511" s="138"/>
      <c r="O511" s="139"/>
      <c r="P511" s="135"/>
      <c r="Q511" s="135"/>
      <c r="R511" s="128"/>
    </row>
    <row r="512">
      <c r="A512" s="137"/>
      <c r="B512" s="135"/>
      <c r="C512" s="138"/>
      <c r="D512" s="135"/>
      <c r="E512" s="135"/>
      <c r="F512" s="138"/>
      <c r="G512" s="138"/>
      <c r="H512" s="138"/>
      <c r="I512" s="138"/>
      <c r="J512" s="135"/>
      <c r="K512" s="138"/>
      <c r="L512" s="138"/>
      <c r="M512" s="138"/>
      <c r="N512" s="138"/>
      <c r="O512" s="139"/>
      <c r="P512" s="135"/>
      <c r="Q512" s="135"/>
      <c r="R512" s="128"/>
    </row>
    <row r="513">
      <c r="A513" s="137"/>
      <c r="B513" s="135"/>
      <c r="C513" s="138"/>
      <c r="D513" s="135"/>
      <c r="E513" s="135"/>
      <c r="F513" s="138"/>
      <c r="G513" s="138"/>
      <c r="H513" s="138"/>
      <c r="I513" s="138"/>
      <c r="J513" s="135"/>
      <c r="K513" s="138"/>
      <c r="L513" s="138"/>
      <c r="M513" s="138"/>
      <c r="N513" s="138"/>
      <c r="O513" s="139"/>
      <c r="P513" s="135"/>
      <c r="Q513" s="135"/>
      <c r="R513" s="128"/>
    </row>
    <row r="514">
      <c r="A514" s="137"/>
      <c r="B514" s="135"/>
      <c r="C514" s="138"/>
      <c r="D514" s="135"/>
      <c r="E514" s="135"/>
      <c r="F514" s="138"/>
      <c r="G514" s="138"/>
      <c r="H514" s="138"/>
      <c r="I514" s="138"/>
      <c r="J514" s="135"/>
      <c r="K514" s="138"/>
      <c r="L514" s="138"/>
      <c r="M514" s="138"/>
      <c r="N514" s="138"/>
      <c r="O514" s="139"/>
      <c r="P514" s="135"/>
      <c r="Q514" s="135"/>
      <c r="R514" s="128"/>
    </row>
    <row r="515">
      <c r="A515" s="137"/>
      <c r="B515" s="135"/>
      <c r="C515" s="138"/>
      <c r="D515" s="135"/>
      <c r="E515" s="135"/>
      <c r="F515" s="138"/>
      <c r="G515" s="138"/>
      <c r="H515" s="138"/>
      <c r="I515" s="138"/>
      <c r="J515" s="135"/>
      <c r="K515" s="138"/>
      <c r="L515" s="138"/>
      <c r="M515" s="138"/>
      <c r="N515" s="138"/>
      <c r="O515" s="139"/>
      <c r="P515" s="135"/>
      <c r="Q515" s="135"/>
      <c r="R515" s="128"/>
    </row>
    <row r="516">
      <c r="A516" s="137"/>
      <c r="B516" s="135"/>
      <c r="C516" s="138"/>
      <c r="D516" s="135"/>
      <c r="E516" s="135"/>
      <c r="F516" s="138"/>
      <c r="G516" s="138"/>
      <c r="H516" s="138"/>
      <c r="I516" s="138"/>
      <c r="J516" s="135"/>
      <c r="K516" s="138"/>
      <c r="L516" s="138"/>
      <c r="M516" s="138"/>
      <c r="N516" s="138"/>
      <c r="O516" s="139"/>
      <c r="P516" s="135"/>
      <c r="Q516" s="135"/>
      <c r="R516" s="128"/>
    </row>
    <row r="517">
      <c r="A517" s="137"/>
      <c r="B517" s="135"/>
      <c r="C517" s="138"/>
      <c r="D517" s="135"/>
      <c r="E517" s="135"/>
      <c r="F517" s="138"/>
      <c r="G517" s="138"/>
      <c r="H517" s="138"/>
      <c r="I517" s="138"/>
      <c r="J517" s="135"/>
      <c r="K517" s="138"/>
      <c r="L517" s="138"/>
      <c r="M517" s="138"/>
      <c r="N517" s="138"/>
      <c r="O517" s="139"/>
      <c r="P517" s="135"/>
      <c r="Q517" s="135"/>
      <c r="R517" s="128"/>
    </row>
    <row r="518">
      <c r="A518" s="137"/>
      <c r="B518" s="135"/>
      <c r="C518" s="138"/>
      <c r="D518" s="135"/>
      <c r="E518" s="135"/>
      <c r="F518" s="138"/>
      <c r="G518" s="138"/>
      <c r="H518" s="138"/>
      <c r="I518" s="138"/>
      <c r="J518" s="135"/>
      <c r="K518" s="138"/>
      <c r="L518" s="138"/>
      <c r="M518" s="138"/>
      <c r="N518" s="138"/>
      <c r="O518" s="139"/>
      <c r="P518" s="135"/>
      <c r="Q518" s="135"/>
      <c r="R518" s="128"/>
    </row>
    <row r="519">
      <c r="A519" s="137"/>
      <c r="B519" s="135"/>
      <c r="C519" s="138"/>
      <c r="D519" s="135"/>
      <c r="E519" s="135"/>
      <c r="F519" s="138"/>
      <c r="G519" s="138"/>
      <c r="H519" s="138"/>
      <c r="I519" s="138"/>
      <c r="J519" s="135"/>
      <c r="K519" s="138"/>
      <c r="L519" s="138"/>
      <c r="M519" s="138"/>
      <c r="N519" s="138"/>
      <c r="O519" s="139"/>
      <c r="P519" s="135"/>
      <c r="Q519" s="135"/>
      <c r="R519" s="128"/>
    </row>
    <row r="520">
      <c r="A520" s="137"/>
      <c r="B520" s="135"/>
      <c r="C520" s="138"/>
      <c r="D520" s="135"/>
      <c r="E520" s="135"/>
      <c r="F520" s="138"/>
      <c r="G520" s="138"/>
      <c r="H520" s="138"/>
      <c r="I520" s="138"/>
      <c r="J520" s="135"/>
      <c r="K520" s="138"/>
      <c r="L520" s="138"/>
      <c r="M520" s="138"/>
      <c r="N520" s="138"/>
      <c r="O520" s="139"/>
      <c r="P520" s="135"/>
      <c r="Q520" s="135"/>
      <c r="R520" s="128"/>
    </row>
    <row r="521">
      <c r="A521" s="137"/>
      <c r="B521" s="135"/>
      <c r="C521" s="138"/>
      <c r="D521" s="135"/>
      <c r="E521" s="135"/>
      <c r="F521" s="138"/>
      <c r="G521" s="138"/>
      <c r="H521" s="138"/>
      <c r="I521" s="138"/>
      <c r="J521" s="135"/>
      <c r="K521" s="138"/>
      <c r="L521" s="138"/>
      <c r="M521" s="138"/>
      <c r="N521" s="138"/>
      <c r="O521" s="139"/>
      <c r="P521" s="135"/>
      <c r="Q521" s="135"/>
      <c r="R521" s="128"/>
    </row>
    <row r="522">
      <c r="A522" s="137"/>
      <c r="B522" s="135"/>
      <c r="C522" s="138"/>
      <c r="D522" s="135"/>
      <c r="E522" s="135"/>
      <c r="F522" s="138"/>
      <c r="G522" s="138"/>
      <c r="H522" s="138"/>
      <c r="I522" s="138"/>
      <c r="J522" s="135"/>
      <c r="K522" s="138"/>
      <c r="L522" s="138"/>
      <c r="M522" s="138"/>
      <c r="N522" s="138"/>
      <c r="O522" s="139"/>
      <c r="P522" s="135"/>
      <c r="Q522" s="135"/>
      <c r="R522" s="128"/>
    </row>
    <row r="523">
      <c r="A523" s="137"/>
      <c r="B523" s="135"/>
      <c r="C523" s="138"/>
      <c r="D523" s="135"/>
      <c r="E523" s="135"/>
      <c r="F523" s="138"/>
      <c r="G523" s="138"/>
      <c r="H523" s="138"/>
      <c r="I523" s="138"/>
      <c r="J523" s="135"/>
      <c r="K523" s="138"/>
      <c r="L523" s="138"/>
      <c r="M523" s="138"/>
      <c r="N523" s="138"/>
      <c r="O523" s="139"/>
      <c r="P523" s="135"/>
      <c r="Q523" s="135"/>
      <c r="R523" s="128"/>
    </row>
    <row r="524">
      <c r="A524" s="137"/>
      <c r="B524" s="135"/>
      <c r="C524" s="138"/>
      <c r="D524" s="135"/>
      <c r="E524" s="135"/>
      <c r="F524" s="138"/>
      <c r="G524" s="138"/>
      <c r="H524" s="138"/>
      <c r="I524" s="138"/>
      <c r="J524" s="135"/>
      <c r="K524" s="138"/>
      <c r="L524" s="138"/>
      <c r="M524" s="138"/>
      <c r="N524" s="138"/>
      <c r="O524" s="139"/>
      <c r="P524" s="135"/>
      <c r="Q524" s="135"/>
      <c r="R524" s="128"/>
    </row>
    <row r="525">
      <c r="A525" s="137"/>
      <c r="B525" s="135"/>
      <c r="C525" s="138"/>
      <c r="D525" s="135"/>
      <c r="E525" s="135"/>
      <c r="F525" s="138"/>
      <c r="G525" s="138"/>
      <c r="H525" s="138"/>
      <c r="I525" s="138"/>
      <c r="J525" s="135"/>
      <c r="K525" s="138"/>
      <c r="L525" s="138"/>
      <c r="M525" s="138"/>
      <c r="N525" s="138"/>
      <c r="O525" s="139"/>
      <c r="P525" s="135"/>
      <c r="Q525" s="135"/>
      <c r="R525" s="128"/>
    </row>
    <row r="526">
      <c r="A526" s="137"/>
      <c r="B526" s="135"/>
      <c r="C526" s="138"/>
      <c r="D526" s="135"/>
      <c r="E526" s="135"/>
      <c r="F526" s="138"/>
      <c r="G526" s="138"/>
      <c r="H526" s="138"/>
      <c r="I526" s="138"/>
      <c r="J526" s="135"/>
      <c r="K526" s="138"/>
      <c r="L526" s="138"/>
      <c r="M526" s="138"/>
      <c r="N526" s="138"/>
      <c r="O526" s="139"/>
      <c r="P526" s="135"/>
      <c r="Q526" s="135"/>
      <c r="R526" s="128"/>
    </row>
    <row r="527">
      <c r="A527" s="137"/>
      <c r="B527" s="135"/>
      <c r="C527" s="138"/>
      <c r="D527" s="135"/>
      <c r="E527" s="135"/>
      <c r="F527" s="138"/>
      <c r="G527" s="138"/>
      <c r="H527" s="138"/>
      <c r="I527" s="138"/>
      <c r="J527" s="135"/>
      <c r="K527" s="138"/>
      <c r="L527" s="138"/>
      <c r="M527" s="138"/>
      <c r="N527" s="138"/>
      <c r="O527" s="139"/>
      <c r="P527" s="135"/>
      <c r="Q527" s="135"/>
      <c r="R527" s="128"/>
    </row>
    <row r="528">
      <c r="A528" s="137"/>
      <c r="B528" s="135"/>
      <c r="C528" s="138"/>
      <c r="D528" s="135"/>
      <c r="E528" s="135"/>
      <c r="F528" s="138"/>
      <c r="G528" s="138"/>
      <c r="H528" s="138"/>
      <c r="I528" s="138"/>
      <c r="J528" s="135"/>
      <c r="K528" s="138"/>
      <c r="L528" s="138"/>
      <c r="M528" s="138"/>
      <c r="N528" s="138"/>
      <c r="O528" s="139"/>
      <c r="P528" s="135"/>
      <c r="Q528" s="135"/>
      <c r="R528" s="128"/>
    </row>
    <row r="529">
      <c r="A529" s="137"/>
      <c r="B529" s="135"/>
      <c r="C529" s="138"/>
      <c r="D529" s="135"/>
      <c r="E529" s="135"/>
      <c r="F529" s="138"/>
      <c r="G529" s="138"/>
      <c r="H529" s="138"/>
      <c r="I529" s="138"/>
      <c r="J529" s="135"/>
      <c r="K529" s="138"/>
      <c r="L529" s="138"/>
      <c r="M529" s="138"/>
      <c r="N529" s="138"/>
      <c r="O529" s="139"/>
      <c r="P529" s="135"/>
      <c r="Q529" s="135"/>
      <c r="R529" s="128"/>
    </row>
    <row r="530">
      <c r="A530" s="137"/>
      <c r="B530" s="135"/>
      <c r="C530" s="138"/>
      <c r="D530" s="135"/>
      <c r="E530" s="135"/>
      <c r="F530" s="138"/>
      <c r="G530" s="138"/>
      <c r="H530" s="138"/>
      <c r="I530" s="138"/>
      <c r="J530" s="135"/>
      <c r="K530" s="138"/>
      <c r="L530" s="138"/>
      <c r="M530" s="138"/>
      <c r="N530" s="138"/>
      <c r="O530" s="139"/>
      <c r="P530" s="135"/>
      <c r="Q530" s="135"/>
      <c r="R530" s="128"/>
    </row>
    <row r="531">
      <c r="A531" s="137"/>
      <c r="B531" s="135"/>
      <c r="C531" s="138"/>
      <c r="D531" s="135"/>
      <c r="E531" s="135"/>
      <c r="F531" s="138"/>
      <c r="G531" s="138"/>
      <c r="H531" s="138"/>
      <c r="I531" s="138"/>
      <c r="J531" s="135"/>
      <c r="K531" s="138"/>
      <c r="L531" s="138"/>
      <c r="M531" s="138"/>
      <c r="N531" s="138"/>
      <c r="O531" s="139"/>
      <c r="P531" s="135"/>
      <c r="Q531" s="135"/>
      <c r="R531" s="128"/>
    </row>
    <row r="532">
      <c r="A532" s="137"/>
      <c r="B532" s="135"/>
      <c r="C532" s="138"/>
      <c r="D532" s="135"/>
      <c r="E532" s="135"/>
      <c r="F532" s="138"/>
      <c r="G532" s="138"/>
      <c r="H532" s="138"/>
      <c r="I532" s="138"/>
      <c r="J532" s="135"/>
      <c r="K532" s="138"/>
      <c r="L532" s="138"/>
      <c r="M532" s="138"/>
      <c r="N532" s="138"/>
      <c r="O532" s="139"/>
      <c r="P532" s="135"/>
      <c r="Q532" s="135"/>
      <c r="R532" s="128"/>
    </row>
    <row r="533">
      <c r="A533" s="137"/>
      <c r="B533" s="135"/>
      <c r="C533" s="138"/>
      <c r="D533" s="135"/>
      <c r="E533" s="135"/>
      <c r="F533" s="138"/>
      <c r="G533" s="138"/>
      <c r="H533" s="138"/>
      <c r="I533" s="138"/>
      <c r="J533" s="135"/>
      <c r="K533" s="138"/>
      <c r="L533" s="138"/>
      <c r="M533" s="138"/>
      <c r="N533" s="138"/>
      <c r="O533" s="139"/>
      <c r="P533" s="135"/>
      <c r="Q533" s="135"/>
      <c r="R533" s="128"/>
    </row>
    <row r="534">
      <c r="A534" s="137"/>
      <c r="B534" s="135"/>
      <c r="C534" s="138"/>
      <c r="D534" s="135"/>
      <c r="E534" s="135"/>
      <c r="F534" s="138"/>
      <c r="G534" s="138"/>
      <c r="H534" s="138"/>
      <c r="I534" s="138"/>
      <c r="J534" s="135"/>
      <c r="K534" s="138"/>
      <c r="L534" s="138"/>
      <c r="M534" s="138"/>
      <c r="N534" s="138"/>
      <c r="O534" s="139"/>
      <c r="P534" s="135"/>
      <c r="Q534" s="135"/>
      <c r="R534" s="128"/>
    </row>
    <row r="535">
      <c r="A535" s="137"/>
      <c r="B535" s="135"/>
      <c r="C535" s="138"/>
      <c r="D535" s="135"/>
      <c r="E535" s="135"/>
      <c r="F535" s="138"/>
      <c r="G535" s="138"/>
      <c r="H535" s="138"/>
      <c r="I535" s="138"/>
      <c r="J535" s="135"/>
      <c r="K535" s="138"/>
      <c r="L535" s="138"/>
      <c r="M535" s="138"/>
      <c r="N535" s="138"/>
      <c r="O535" s="139"/>
      <c r="P535" s="135"/>
      <c r="Q535" s="135"/>
      <c r="R535" s="128"/>
    </row>
    <row r="536">
      <c r="A536" s="137"/>
      <c r="B536" s="135"/>
      <c r="C536" s="138"/>
      <c r="D536" s="135"/>
      <c r="E536" s="135"/>
      <c r="F536" s="138"/>
      <c r="G536" s="138"/>
      <c r="H536" s="138"/>
      <c r="I536" s="138"/>
      <c r="J536" s="135"/>
      <c r="K536" s="138"/>
      <c r="L536" s="138"/>
      <c r="M536" s="138"/>
      <c r="N536" s="138"/>
      <c r="O536" s="139"/>
      <c r="P536" s="135"/>
      <c r="Q536" s="135"/>
      <c r="R536" s="128"/>
    </row>
    <row r="537">
      <c r="A537" s="137"/>
      <c r="B537" s="135"/>
      <c r="C537" s="138"/>
      <c r="D537" s="135"/>
      <c r="E537" s="135"/>
      <c r="F537" s="138"/>
      <c r="G537" s="138"/>
      <c r="H537" s="138"/>
      <c r="I537" s="138"/>
      <c r="J537" s="135"/>
      <c r="K537" s="138"/>
      <c r="L537" s="138"/>
      <c r="M537" s="138"/>
      <c r="N537" s="138"/>
      <c r="O537" s="139"/>
      <c r="P537" s="135"/>
      <c r="Q537" s="135"/>
      <c r="R537" s="128"/>
    </row>
    <row r="538">
      <c r="A538" s="137"/>
      <c r="B538" s="135"/>
      <c r="C538" s="138"/>
      <c r="D538" s="135"/>
      <c r="E538" s="135"/>
      <c r="F538" s="138"/>
      <c r="G538" s="138"/>
      <c r="H538" s="138"/>
      <c r="I538" s="138"/>
      <c r="J538" s="135"/>
      <c r="K538" s="138"/>
      <c r="L538" s="138"/>
      <c r="M538" s="138"/>
      <c r="N538" s="138"/>
      <c r="O538" s="139"/>
      <c r="P538" s="135"/>
      <c r="Q538" s="135"/>
      <c r="R538" s="128"/>
    </row>
    <row r="539">
      <c r="A539" s="137"/>
      <c r="B539" s="135"/>
      <c r="C539" s="138"/>
      <c r="D539" s="135"/>
      <c r="E539" s="135"/>
      <c r="F539" s="138"/>
      <c r="G539" s="138"/>
      <c r="H539" s="138"/>
      <c r="I539" s="138"/>
      <c r="J539" s="135"/>
      <c r="K539" s="138"/>
      <c r="L539" s="138"/>
      <c r="M539" s="138"/>
      <c r="N539" s="138"/>
      <c r="O539" s="139"/>
      <c r="P539" s="135"/>
      <c r="Q539" s="135"/>
      <c r="R539" s="128"/>
    </row>
    <row r="540">
      <c r="A540" s="137"/>
      <c r="B540" s="135"/>
      <c r="C540" s="138"/>
      <c r="D540" s="135"/>
      <c r="E540" s="135"/>
      <c r="F540" s="138"/>
      <c r="G540" s="138"/>
      <c r="H540" s="138"/>
      <c r="I540" s="138"/>
      <c r="J540" s="135"/>
      <c r="K540" s="138"/>
      <c r="L540" s="138"/>
      <c r="M540" s="138"/>
      <c r="N540" s="138"/>
      <c r="O540" s="139"/>
      <c r="P540" s="135"/>
      <c r="Q540" s="135"/>
      <c r="R540" s="128"/>
    </row>
    <row r="541">
      <c r="A541" s="137"/>
      <c r="B541" s="135"/>
      <c r="C541" s="138"/>
      <c r="D541" s="135"/>
      <c r="E541" s="135"/>
      <c r="F541" s="138"/>
      <c r="G541" s="138"/>
      <c r="H541" s="138"/>
      <c r="I541" s="138"/>
      <c r="J541" s="135"/>
      <c r="K541" s="138"/>
      <c r="L541" s="138"/>
      <c r="M541" s="138"/>
      <c r="N541" s="138"/>
      <c r="O541" s="139"/>
      <c r="P541" s="135"/>
      <c r="Q541" s="135"/>
      <c r="R541" s="128"/>
    </row>
    <row r="542">
      <c r="A542" s="137"/>
      <c r="B542" s="135"/>
      <c r="C542" s="138"/>
      <c r="D542" s="135"/>
      <c r="E542" s="135"/>
      <c r="F542" s="138"/>
      <c r="G542" s="138"/>
      <c r="H542" s="138"/>
      <c r="I542" s="138"/>
      <c r="J542" s="135"/>
      <c r="K542" s="138"/>
      <c r="L542" s="138"/>
      <c r="M542" s="138"/>
      <c r="N542" s="138"/>
      <c r="O542" s="139"/>
      <c r="P542" s="135"/>
      <c r="Q542" s="135"/>
      <c r="R542" s="128"/>
    </row>
    <row r="543">
      <c r="A543" s="137"/>
      <c r="B543" s="135"/>
      <c r="C543" s="138"/>
      <c r="D543" s="135"/>
      <c r="E543" s="135"/>
      <c r="F543" s="138"/>
      <c r="G543" s="138"/>
      <c r="H543" s="138"/>
      <c r="I543" s="138"/>
      <c r="J543" s="135"/>
      <c r="K543" s="138"/>
      <c r="L543" s="138"/>
      <c r="M543" s="138"/>
      <c r="N543" s="138"/>
      <c r="O543" s="139"/>
      <c r="P543" s="135"/>
      <c r="Q543" s="135"/>
      <c r="R543" s="128"/>
    </row>
    <row r="544">
      <c r="A544" s="137"/>
      <c r="B544" s="135"/>
      <c r="C544" s="138"/>
      <c r="D544" s="135"/>
      <c r="E544" s="135"/>
      <c r="F544" s="138"/>
      <c r="G544" s="138"/>
      <c r="H544" s="138"/>
      <c r="I544" s="138"/>
      <c r="J544" s="135"/>
      <c r="K544" s="138"/>
      <c r="L544" s="138"/>
      <c r="M544" s="138"/>
      <c r="N544" s="138"/>
      <c r="O544" s="139"/>
      <c r="P544" s="135"/>
      <c r="Q544" s="135"/>
      <c r="R544" s="128"/>
    </row>
    <row r="545">
      <c r="A545" s="137"/>
      <c r="B545" s="135"/>
      <c r="C545" s="138"/>
      <c r="D545" s="135"/>
      <c r="E545" s="135"/>
      <c r="F545" s="138"/>
      <c r="G545" s="138"/>
      <c r="H545" s="138"/>
      <c r="I545" s="138"/>
      <c r="J545" s="135"/>
      <c r="K545" s="138"/>
      <c r="L545" s="138"/>
      <c r="M545" s="138"/>
      <c r="N545" s="138"/>
      <c r="O545" s="139"/>
      <c r="P545" s="135"/>
      <c r="Q545" s="135"/>
      <c r="R545" s="128"/>
    </row>
    <row r="546">
      <c r="A546" s="137"/>
      <c r="B546" s="135"/>
      <c r="C546" s="138"/>
      <c r="D546" s="135"/>
      <c r="E546" s="135"/>
      <c r="F546" s="138"/>
      <c r="G546" s="138"/>
      <c r="H546" s="138"/>
      <c r="I546" s="138"/>
      <c r="J546" s="135"/>
      <c r="K546" s="138"/>
      <c r="L546" s="138"/>
      <c r="M546" s="138"/>
      <c r="N546" s="138"/>
      <c r="O546" s="139"/>
      <c r="P546" s="135"/>
      <c r="Q546" s="135"/>
      <c r="R546" s="128"/>
    </row>
    <row r="547">
      <c r="A547" s="137"/>
      <c r="B547" s="135"/>
      <c r="C547" s="138"/>
      <c r="D547" s="135"/>
      <c r="E547" s="135"/>
      <c r="F547" s="138"/>
      <c r="G547" s="138"/>
      <c r="H547" s="138"/>
      <c r="I547" s="138"/>
      <c r="J547" s="135"/>
      <c r="K547" s="138"/>
      <c r="L547" s="138"/>
      <c r="M547" s="138"/>
      <c r="N547" s="138"/>
      <c r="O547" s="139"/>
      <c r="P547" s="135"/>
      <c r="Q547" s="135"/>
      <c r="R547" s="128"/>
    </row>
    <row r="548">
      <c r="A548" s="137"/>
      <c r="B548" s="135"/>
      <c r="C548" s="138"/>
      <c r="D548" s="135"/>
      <c r="E548" s="135"/>
      <c r="F548" s="138"/>
      <c r="G548" s="138"/>
      <c r="H548" s="138"/>
      <c r="I548" s="138"/>
      <c r="J548" s="135"/>
      <c r="K548" s="138"/>
      <c r="L548" s="138"/>
      <c r="M548" s="138"/>
      <c r="N548" s="138"/>
      <c r="O548" s="139"/>
      <c r="P548" s="135"/>
      <c r="Q548" s="135"/>
      <c r="R548" s="128"/>
    </row>
    <row r="549">
      <c r="A549" s="137"/>
      <c r="B549" s="135"/>
      <c r="C549" s="138"/>
      <c r="D549" s="135"/>
      <c r="E549" s="135"/>
      <c r="F549" s="138"/>
      <c r="G549" s="138"/>
      <c r="H549" s="138"/>
      <c r="I549" s="138"/>
      <c r="J549" s="135"/>
      <c r="K549" s="138"/>
      <c r="L549" s="138"/>
      <c r="M549" s="138"/>
      <c r="N549" s="138"/>
      <c r="O549" s="139"/>
      <c r="P549" s="135"/>
      <c r="Q549" s="135"/>
      <c r="R549" s="128"/>
    </row>
    <row r="550">
      <c r="A550" s="137"/>
      <c r="B550" s="135"/>
      <c r="C550" s="138"/>
      <c r="D550" s="135"/>
      <c r="E550" s="135"/>
      <c r="F550" s="138"/>
      <c r="G550" s="138"/>
      <c r="H550" s="138"/>
      <c r="I550" s="138"/>
      <c r="J550" s="135"/>
      <c r="K550" s="138"/>
      <c r="L550" s="138"/>
      <c r="M550" s="138"/>
      <c r="N550" s="138"/>
      <c r="O550" s="139"/>
      <c r="P550" s="135"/>
      <c r="Q550" s="135"/>
      <c r="R550" s="128"/>
    </row>
    <row r="551">
      <c r="A551" s="137"/>
      <c r="B551" s="135"/>
      <c r="C551" s="138"/>
      <c r="D551" s="135"/>
      <c r="E551" s="135"/>
      <c r="F551" s="138"/>
      <c r="G551" s="138"/>
      <c r="H551" s="138"/>
      <c r="I551" s="138"/>
      <c r="J551" s="135"/>
      <c r="K551" s="138"/>
      <c r="L551" s="138"/>
      <c r="M551" s="138"/>
      <c r="N551" s="138"/>
      <c r="O551" s="139"/>
      <c r="P551" s="135"/>
      <c r="Q551" s="135"/>
      <c r="R551" s="128"/>
    </row>
    <row r="552">
      <c r="A552" s="137"/>
      <c r="B552" s="135"/>
      <c r="C552" s="138"/>
      <c r="D552" s="135"/>
      <c r="E552" s="135"/>
      <c r="F552" s="138"/>
      <c r="G552" s="138"/>
      <c r="H552" s="138"/>
      <c r="I552" s="138"/>
      <c r="J552" s="135"/>
      <c r="K552" s="138"/>
      <c r="L552" s="138"/>
      <c r="M552" s="138"/>
      <c r="N552" s="138"/>
      <c r="O552" s="139"/>
      <c r="P552" s="135"/>
      <c r="Q552" s="135"/>
      <c r="R552" s="128"/>
    </row>
    <row r="553">
      <c r="A553" s="137"/>
      <c r="B553" s="135"/>
      <c r="C553" s="138"/>
      <c r="D553" s="135"/>
      <c r="E553" s="135"/>
      <c r="F553" s="138"/>
      <c r="G553" s="138"/>
      <c r="H553" s="138"/>
      <c r="I553" s="138"/>
      <c r="J553" s="135"/>
      <c r="K553" s="138"/>
      <c r="L553" s="138"/>
      <c r="M553" s="138"/>
      <c r="N553" s="138"/>
      <c r="O553" s="139"/>
      <c r="P553" s="135"/>
      <c r="Q553" s="135"/>
      <c r="R553" s="128"/>
    </row>
    <row r="554">
      <c r="A554" s="137"/>
      <c r="B554" s="135"/>
      <c r="C554" s="138"/>
      <c r="D554" s="135"/>
      <c r="E554" s="135"/>
      <c r="F554" s="138"/>
      <c r="G554" s="138"/>
      <c r="H554" s="138"/>
      <c r="I554" s="138"/>
      <c r="J554" s="135"/>
      <c r="K554" s="138"/>
      <c r="L554" s="138"/>
      <c r="M554" s="138"/>
      <c r="N554" s="138"/>
      <c r="O554" s="139"/>
      <c r="P554" s="135"/>
      <c r="Q554" s="135"/>
      <c r="R554" s="128"/>
    </row>
    <row r="555">
      <c r="A555" s="137"/>
      <c r="B555" s="135"/>
      <c r="C555" s="138"/>
      <c r="D555" s="135"/>
      <c r="E555" s="135"/>
      <c r="F555" s="138"/>
      <c r="G555" s="138"/>
      <c r="H555" s="138"/>
      <c r="I555" s="138"/>
      <c r="J555" s="135"/>
      <c r="K555" s="138"/>
      <c r="L555" s="138"/>
      <c r="M555" s="138"/>
      <c r="N555" s="138"/>
      <c r="O555" s="139"/>
      <c r="P555" s="135"/>
      <c r="Q555" s="135"/>
      <c r="R555" s="128"/>
    </row>
    <row r="556">
      <c r="A556" s="137"/>
      <c r="B556" s="135"/>
      <c r="C556" s="138"/>
      <c r="D556" s="135"/>
      <c r="E556" s="135"/>
      <c r="F556" s="138"/>
      <c r="G556" s="138"/>
      <c r="H556" s="138"/>
      <c r="I556" s="138"/>
      <c r="J556" s="135"/>
      <c r="K556" s="138"/>
      <c r="L556" s="138"/>
      <c r="M556" s="138"/>
      <c r="N556" s="138"/>
      <c r="O556" s="139"/>
      <c r="P556" s="135"/>
      <c r="Q556" s="135"/>
      <c r="R556" s="128"/>
    </row>
    <row r="557">
      <c r="A557" s="137"/>
      <c r="B557" s="135"/>
      <c r="C557" s="138"/>
      <c r="D557" s="135"/>
      <c r="E557" s="135"/>
      <c r="F557" s="138"/>
      <c r="G557" s="138"/>
      <c r="H557" s="138"/>
      <c r="I557" s="138"/>
      <c r="J557" s="135"/>
      <c r="K557" s="138"/>
      <c r="L557" s="138"/>
      <c r="M557" s="138"/>
      <c r="N557" s="138"/>
      <c r="O557" s="139"/>
      <c r="P557" s="135"/>
      <c r="Q557" s="135"/>
      <c r="R557" s="128"/>
    </row>
    <row r="558">
      <c r="A558" s="137"/>
      <c r="B558" s="135"/>
      <c r="C558" s="138"/>
      <c r="D558" s="135"/>
      <c r="E558" s="135"/>
      <c r="F558" s="138"/>
      <c r="G558" s="138"/>
      <c r="H558" s="138"/>
      <c r="I558" s="138"/>
      <c r="J558" s="135"/>
      <c r="K558" s="138"/>
      <c r="L558" s="138"/>
      <c r="M558" s="138"/>
      <c r="N558" s="138"/>
      <c r="O558" s="139"/>
      <c r="P558" s="135"/>
      <c r="Q558" s="135"/>
      <c r="R558" s="128"/>
    </row>
    <row r="559">
      <c r="A559" s="137"/>
      <c r="B559" s="135"/>
      <c r="C559" s="138"/>
      <c r="D559" s="135"/>
      <c r="E559" s="135"/>
      <c r="F559" s="138"/>
      <c r="G559" s="138"/>
      <c r="H559" s="138"/>
      <c r="I559" s="138"/>
      <c r="J559" s="135"/>
      <c r="K559" s="138"/>
      <c r="L559" s="138"/>
      <c r="M559" s="138"/>
      <c r="N559" s="138"/>
      <c r="O559" s="139"/>
      <c r="P559" s="135"/>
      <c r="Q559" s="135"/>
      <c r="R559" s="128"/>
    </row>
    <row r="560">
      <c r="A560" s="137"/>
      <c r="B560" s="135"/>
      <c r="C560" s="138"/>
      <c r="D560" s="135"/>
      <c r="E560" s="135"/>
      <c r="F560" s="138"/>
      <c r="G560" s="138"/>
      <c r="H560" s="138"/>
      <c r="I560" s="138"/>
      <c r="J560" s="135"/>
      <c r="K560" s="138"/>
      <c r="L560" s="138"/>
      <c r="M560" s="138"/>
      <c r="N560" s="138"/>
      <c r="O560" s="139"/>
      <c r="P560" s="135"/>
      <c r="Q560" s="135"/>
      <c r="R560" s="128"/>
    </row>
    <row r="561">
      <c r="A561" s="137"/>
      <c r="B561" s="135"/>
      <c r="C561" s="138"/>
      <c r="D561" s="135"/>
      <c r="E561" s="135"/>
      <c r="F561" s="138"/>
      <c r="G561" s="138"/>
      <c r="H561" s="138"/>
      <c r="I561" s="138"/>
      <c r="J561" s="135"/>
      <c r="K561" s="138"/>
      <c r="L561" s="138"/>
      <c r="M561" s="138"/>
      <c r="N561" s="138"/>
      <c r="O561" s="139"/>
      <c r="P561" s="135"/>
      <c r="Q561" s="135"/>
      <c r="R561" s="128"/>
    </row>
    <row r="562">
      <c r="A562" s="137"/>
      <c r="B562" s="135"/>
      <c r="C562" s="138"/>
      <c r="D562" s="135"/>
      <c r="E562" s="135"/>
      <c r="F562" s="138"/>
      <c r="G562" s="138"/>
      <c r="H562" s="138"/>
      <c r="I562" s="138"/>
      <c r="J562" s="135"/>
      <c r="K562" s="138"/>
      <c r="L562" s="138"/>
      <c r="M562" s="138"/>
      <c r="N562" s="138"/>
      <c r="O562" s="139"/>
      <c r="P562" s="135"/>
      <c r="Q562" s="135"/>
      <c r="R562" s="128"/>
    </row>
    <row r="563">
      <c r="A563" s="137"/>
      <c r="B563" s="135"/>
      <c r="C563" s="138"/>
      <c r="D563" s="135"/>
      <c r="E563" s="135"/>
      <c r="F563" s="138"/>
      <c r="G563" s="138"/>
      <c r="H563" s="138"/>
      <c r="I563" s="138"/>
      <c r="J563" s="135"/>
      <c r="K563" s="138"/>
      <c r="L563" s="138"/>
      <c r="M563" s="138"/>
      <c r="N563" s="138"/>
      <c r="O563" s="139"/>
      <c r="P563" s="135"/>
      <c r="Q563" s="135"/>
      <c r="R563" s="128"/>
    </row>
    <row r="564">
      <c r="A564" s="137"/>
      <c r="B564" s="135"/>
      <c r="C564" s="138"/>
      <c r="D564" s="135"/>
      <c r="E564" s="135"/>
      <c r="F564" s="138"/>
      <c r="G564" s="138"/>
      <c r="H564" s="138"/>
      <c r="I564" s="138"/>
      <c r="J564" s="135"/>
      <c r="K564" s="138"/>
      <c r="L564" s="138"/>
      <c r="M564" s="138"/>
      <c r="N564" s="138"/>
      <c r="O564" s="139"/>
      <c r="P564" s="135"/>
      <c r="Q564" s="135"/>
      <c r="R564" s="12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38"/>
    <col customWidth="1" min="2" max="2" width="15.75"/>
    <col customWidth="1" min="3" max="3" width="34.5"/>
    <col customWidth="1" min="11" max="11" width="25.63"/>
  </cols>
  <sheetData>
    <row r="1">
      <c r="A1" s="1" t="s">
        <v>0</v>
      </c>
      <c r="B1" s="140" t="s">
        <v>1</v>
      </c>
      <c r="C1" s="2" t="s">
        <v>2</v>
      </c>
      <c r="D1" s="1" t="s">
        <v>3</v>
      </c>
      <c r="E1" s="1" t="s">
        <v>4</v>
      </c>
      <c r="F1" s="1" t="s">
        <v>5</v>
      </c>
      <c r="G1" s="140" t="s">
        <v>6</v>
      </c>
      <c r="H1" s="140" t="s">
        <v>7</v>
      </c>
      <c r="I1" s="140" t="s">
        <v>8</v>
      </c>
      <c r="J1" s="1" t="s">
        <v>9</v>
      </c>
      <c r="K1" s="1" t="s">
        <v>10</v>
      </c>
      <c r="L1" s="1" t="s">
        <v>11</v>
      </c>
      <c r="M1" s="1" t="s">
        <v>12</v>
      </c>
      <c r="N1" s="1" t="s">
        <v>13</v>
      </c>
    </row>
    <row r="2">
      <c r="A2" s="7">
        <v>1234.0</v>
      </c>
      <c r="B2" s="18" t="s">
        <v>1322</v>
      </c>
      <c r="C2" s="18" t="s">
        <v>1323</v>
      </c>
      <c r="D2" s="7" t="s">
        <v>1324</v>
      </c>
      <c r="E2" s="7" t="s">
        <v>1325</v>
      </c>
      <c r="F2" s="7" t="s">
        <v>18</v>
      </c>
      <c r="G2" s="140"/>
      <c r="H2" s="140">
        <v>2015.0</v>
      </c>
      <c r="I2" s="140" t="s">
        <v>811</v>
      </c>
      <c r="J2" s="7" t="s">
        <v>1326</v>
      </c>
      <c r="K2" s="16" t="s">
        <v>1327</v>
      </c>
      <c r="L2" s="7" t="s">
        <v>1328</v>
      </c>
      <c r="M2" s="17"/>
      <c r="N2" s="7" t="s">
        <v>23</v>
      </c>
      <c r="O2" s="17"/>
      <c r="P2" s="17"/>
      <c r="Q2" s="17"/>
      <c r="R2" s="17"/>
      <c r="S2" s="17"/>
      <c r="T2" s="17"/>
      <c r="U2" s="17"/>
      <c r="V2" s="17"/>
      <c r="W2" s="17"/>
      <c r="X2" s="17"/>
      <c r="Y2" s="17"/>
      <c r="Z2" s="17"/>
      <c r="AA2" s="17"/>
      <c r="AB2" s="17"/>
    </row>
    <row r="3">
      <c r="A3" s="7">
        <v>1234.0</v>
      </c>
      <c r="B3" s="18" t="s">
        <v>1329</v>
      </c>
      <c r="C3" s="18" t="s">
        <v>1330</v>
      </c>
      <c r="D3" s="7" t="s">
        <v>1324</v>
      </c>
      <c r="E3" s="7" t="s">
        <v>1325</v>
      </c>
      <c r="F3" s="7" t="s">
        <v>217</v>
      </c>
      <c r="G3" s="140"/>
      <c r="H3" s="140">
        <v>2017.0</v>
      </c>
      <c r="I3" s="140" t="s">
        <v>811</v>
      </c>
      <c r="J3" s="7" t="s">
        <v>1331</v>
      </c>
      <c r="K3" s="16" t="s">
        <v>1332</v>
      </c>
      <c r="L3" s="7" t="s">
        <v>1328</v>
      </c>
      <c r="M3" s="17"/>
      <c r="N3" s="7" t="s">
        <v>23</v>
      </c>
      <c r="O3" s="17"/>
      <c r="P3" s="17"/>
      <c r="Q3" s="17"/>
      <c r="R3" s="17"/>
      <c r="S3" s="17"/>
      <c r="T3" s="17"/>
      <c r="U3" s="17"/>
      <c r="V3" s="17"/>
      <c r="W3" s="17"/>
      <c r="X3" s="17"/>
      <c r="Y3" s="17"/>
      <c r="Z3" s="17"/>
      <c r="AA3" s="17"/>
      <c r="AB3" s="17"/>
    </row>
    <row r="4">
      <c r="A4" s="7">
        <v>8588.0</v>
      </c>
      <c r="B4" s="140" t="s">
        <v>1333</v>
      </c>
      <c r="C4" s="140" t="str">
        <f>IFERROR(__xludf.DUMMYFUNCTION("GOOGLETRANSLATE(B4)"),"Law n ° 2019-1270 of December 2, 2019 of amending finance for 2019 (1)")</f>
        <v>Law n ° 2019-1270 of December 2, 2019 of amending finance for 2019 (1)</v>
      </c>
      <c r="D4" s="7" t="s">
        <v>1324</v>
      </c>
      <c r="E4" s="7" t="s">
        <v>1325</v>
      </c>
      <c r="F4" s="7" t="s">
        <v>41</v>
      </c>
      <c r="G4" s="140"/>
      <c r="H4" s="140">
        <v>2019.0</v>
      </c>
      <c r="I4" s="140" t="s">
        <v>811</v>
      </c>
      <c r="J4" s="16" t="s">
        <v>1334</v>
      </c>
      <c r="K4" s="16" t="s">
        <v>1335</v>
      </c>
      <c r="L4" s="7" t="s">
        <v>1328</v>
      </c>
      <c r="M4" s="17"/>
      <c r="N4" s="7" t="s">
        <v>275</v>
      </c>
      <c r="O4" s="17"/>
      <c r="P4" s="17"/>
      <c r="Q4" s="17"/>
      <c r="R4" s="17"/>
      <c r="S4" s="17"/>
      <c r="T4" s="17"/>
      <c r="U4" s="17"/>
      <c r="V4" s="17"/>
      <c r="W4" s="17"/>
      <c r="X4" s="17"/>
      <c r="Y4" s="17"/>
      <c r="Z4" s="17"/>
      <c r="AA4" s="17"/>
      <c r="AB4" s="17"/>
    </row>
    <row r="5">
      <c r="A5" s="7">
        <v>8588.0</v>
      </c>
      <c r="B5" s="140" t="s">
        <v>1336</v>
      </c>
      <c r="C5" s="140" t="str">
        <f>IFERROR(__xludf.DUMMYFUNCTION("GOOGLETRANSLATE(B5)"),"Law No. 2021-1900 of December 30, 2021 in finance for 2022 (1)")</f>
        <v>Law No. 2021-1900 of December 30, 2021 in finance for 2022 (1)</v>
      </c>
      <c r="D5" s="7" t="s">
        <v>1324</v>
      </c>
      <c r="E5" s="7" t="s">
        <v>1325</v>
      </c>
      <c r="F5" s="7" t="s">
        <v>41</v>
      </c>
      <c r="G5" s="140"/>
      <c r="H5" s="140">
        <v>2021.0</v>
      </c>
      <c r="I5" s="140" t="s">
        <v>811</v>
      </c>
      <c r="J5" s="7" t="s">
        <v>1337</v>
      </c>
      <c r="K5" s="16" t="s">
        <v>1338</v>
      </c>
      <c r="L5" s="7" t="s">
        <v>1328</v>
      </c>
      <c r="M5" s="17"/>
      <c r="N5" s="7" t="s">
        <v>275</v>
      </c>
      <c r="O5" s="17"/>
      <c r="P5" s="17"/>
      <c r="Q5" s="17"/>
      <c r="R5" s="17"/>
      <c r="S5" s="17"/>
      <c r="T5" s="17"/>
      <c r="U5" s="17"/>
      <c r="V5" s="17"/>
      <c r="W5" s="17"/>
      <c r="X5" s="17"/>
      <c r="Y5" s="17"/>
      <c r="Z5" s="17"/>
      <c r="AA5" s="17"/>
      <c r="AB5" s="17"/>
    </row>
    <row r="6">
      <c r="A6" s="7">
        <v>8588.0</v>
      </c>
      <c r="B6" s="140" t="s">
        <v>1339</v>
      </c>
      <c r="C6" s="140" t="str">
        <f>IFERROR(__xludf.DUMMYFUNCTION("GOOGLETRANSLATE(B6)"),"Abrogated by order n ° 2021-1843 of December 22, 2021 - Art. 10")</f>
        <v>Abrogated by order n ° 2021-1843 of December 22, 2021 - Art. 10</v>
      </c>
      <c r="D6" s="7" t="s">
        <v>1324</v>
      </c>
      <c r="E6" s="7" t="s">
        <v>1325</v>
      </c>
      <c r="F6" s="7" t="s">
        <v>1340</v>
      </c>
      <c r="G6" s="140"/>
      <c r="H6" s="140">
        <v>2021.0</v>
      </c>
      <c r="I6" s="140" t="s">
        <v>811</v>
      </c>
      <c r="J6" s="7" t="s">
        <v>1341</v>
      </c>
      <c r="K6" s="16" t="s">
        <v>1342</v>
      </c>
      <c r="L6" s="7" t="s">
        <v>1328</v>
      </c>
      <c r="M6" s="17"/>
      <c r="N6" s="7" t="s">
        <v>275</v>
      </c>
      <c r="O6" s="17"/>
      <c r="P6" s="17"/>
      <c r="Q6" s="17"/>
      <c r="R6" s="17"/>
      <c r="S6" s="17"/>
      <c r="T6" s="17"/>
      <c r="U6" s="17"/>
      <c r="V6" s="17"/>
      <c r="W6" s="17"/>
      <c r="X6" s="17"/>
      <c r="Y6" s="17"/>
      <c r="Z6" s="17"/>
      <c r="AA6" s="17"/>
      <c r="AB6" s="17"/>
    </row>
    <row r="7">
      <c r="A7" s="1">
        <v>8684.0</v>
      </c>
      <c r="B7" s="140" t="s">
        <v>1343</v>
      </c>
      <c r="C7" s="140" t="str">
        <f>IFERROR(__xludf.DUMMYFUNCTION("GOOGLETRANSLATE(B7)"),"Hydrogen deployment plan for energy transition")</f>
        <v>Hydrogen deployment plan for energy transition</v>
      </c>
      <c r="D7" s="1" t="s">
        <v>1324</v>
      </c>
      <c r="E7" s="1" t="s">
        <v>1325</v>
      </c>
      <c r="F7" s="1" t="s">
        <v>234</v>
      </c>
      <c r="G7" s="141"/>
      <c r="H7" s="141"/>
      <c r="I7" s="140" t="s">
        <v>811</v>
      </c>
      <c r="J7" s="1" t="s">
        <v>1344</v>
      </c>
      <c r="K7" s="4" t="s">
        <v>1345</v>
      </c>
      <c r="L7" s="1" t="s">
        <v>1328</v>
      </c>
      <c r="N7" s="1" t="s">
        <v>37</v>
      </c>
    </row>
    <row r="8">
      <c r="A8" s="142">
        <v>8684.0</v>
      </c>
      <c r="B8" s="143"/>
      <c r="C8" s="142" t="str">
        <f>IFERROR(__xludf.DUMMYFUNCTION("GOOGLETRANSLATE(B8)"),"#VALUE!")</f>
        <v>#VALUE!</v>
      </c>
      <c r="D8" s="142" t="s">
        <v>1324</v>
      </c>
      <c r="E8" s="142" t="s">
        <v>1325</v>
      </c>
      <c r="F8" s="143"/>
      <c r="G8" s="143"/>
      <c r="H8" s="143"/>
      <c r="I8" s="143"/>
      <c r="J8" s="142" t="s">
        <v>1346</v>
      </c>
      <c r="K8" s="144" t="s">
        <v>1347</v>
      </c>
      <c r="L8" s="142" t="s">
        <v>1328</v>
      </c>
      <c r="M8" s="143"/>
      <c r="N8" s="142" t="s">
        <v>326</v>
      </c>
      <c r="O8" s="143"/>
      <c r="P8" s="143"/>
      <c r="Q8" s="143"/>
      <c r="R8" s="143"/>
      <c r="S8" s="143"/>
      <c r="T8" s="143"/>
      <c r="U8" s="143"/>
      <c r="V8" s="143"/>
      <c r="W8" s="143"/>
      <c r="X8" s="143"/>
      <c r="Y8" s="143"/>
      <c r="Z8" s="143"/>
      <c r="AA8" s="143"/>
      <c r="AB8" s="143"/>
    </row>
    <row r="9">
      <c r="A9" s="1">
        <v>9342.0</v>
      </c>
      <c r="B9" s="145" t="s">
        <v>1348</v>
      </c>
      <c r="C9" s="145" t="str">
        <f>IFERROR(__xludf.DUMMYFUNCTION("GOOGLETRANSLATE(B9)"),"The national climate change adaptation plan")</f>
        <v>The national climate change adaptation plan</v>
      </c>
      <c r="D9" s="1" t="s">
        <v>1324</v>
      </c>
      <c r="E9" s="1" t="s">
        <v>1325</v>
      </c>
      <c r="F9" s="1" t="s">
        <v>234</v>
      </c>
      <c r="G9" s="140"/>
      <c r="H9" s="140">
        <v>2017.0</v>
      </c>
      <c r="I9" s="140" t="s">
        <v>811</v>
      </c>
      <c r="J9" s="1" t="s">
        <v>1349</v>
      </c>
      <c r="K9" s="4" t="s">
        <v>1350</v>
      </c>
      <c r="L9" s="1" t="s">
        <v>1328</v>
      </c>
      <c r="N9" s="1" t="s">
        <v>37</v>
      </c>
    </row>
    <row r="10">
      <c r="A10" s="145">
        <v>9342.0</v>
      </c>
      <c r="B10" s="145" t="s">
        <v>1348</v>
      </c>
      <c r="C10" s="145" t="str">
        <f>IFERROR(__xludf.DUMMYFUNCTION("GOOGLETRANSLATE(B10)"),"The national climate change adaptation plan")</f>
        <v>The national climate change adaptation plan</v>
      </c>
      <c r="D10" s="1" t="s">
        <v>1324</v>
      </c>
      <c r="E10" s="1" t="s">
        <v>1325</v>
      </c>
      <c r="F10" s="1" t="s">
        <v>234</v>
      </c>
      <c r="G10" s="140"/>
      <c r="H10" s="140">
        <v>2017.0</v>
      </c>
      <c r="I10" s="140" t="s">
        <v>811</v>
      </c>
      <c r="J10" s="1" t="s">
        <v>1351</v>
      </c>
      <c r="K10" s="4" t="s">
        <v>1352</v>
      </c>
      <c r="L10" s="1" t="s">
        <v>1328</v>
      </c>
      <c r="N10" s="1" t="s">
        <v>23</v>
      </c>
    </row>
    <row r="11">
      <c r="A11" s="1">
        <v>9384.0</v>
      </c>
      <c r="B11" s="140" t="s">
        <v>1353</v>
      </c>
      <c r="C11" s="140" t="str">
        <f>IFERROR(__xludf.DUMMYFUNCTION("GOOGLETRANSLATE(B11)"),"Bas-Carbon National Strategy (SNBC)")</f>
        <v>Bas-Carbon National Strategy (SNBC)</v>
      </c>
      <c r="D11" s="1" t="s">
        <v>1324</v>
      </c>
      <c r="E11" s="1" t="s">
        <v>1325</v>
      </c>
      <c r="F11" s="1" t="s">
        <v>144</v>
      </c>
      <c r="G11" s="140"/>
      <c r="H11" s="140">
        <v>2021.0</v>
      </c>
      <c r="I11" s="140" t="s">
        <v>811</v>
      </c>
      <c r="J11" s="1" t="s">
        <v>1354</v>
      </c>
      <c r="K11" s="4" t="s">
        <v>1355</v>
      </c>
      <c r="L11" s="1" t="s">
        <v>1328</v>
      </c>
      <c r="N11" s="1" t="s">
        <v>326</v>
      </c>
    </row>
    <row r="12">
      <c r="A12" s="1">
        <v>9384.0</v>
      </c>
      <c r="B12" s="140" t="s">
        <v>1356</v>
      </c>
      <c r="C12" s="140" t="str">
        <f>IFERROR(__xludf.DUMMYFUNCTION("GOOGLETRANSLATE(B12)"),"National low-carbon strategy")</f>
        <v>National low-carbon strategy</v>
      </c>
      <c r="D12" s="1" t="s">
        <v>1324</v>
      </c>
      <c r="E12" s="1" t="s">
        <v>1325</v>
      </c>
      <c r="F12" s="1" t="s">
        <v>144</v>
      </c>
      <c r="G12" s="140"/>
      <c r="H12" s="140">
        <v>2020.0</v>
      </c>
      <c r="I12" s="140" t="s">
        <v>811</v>
      </c>
      <c r="J12" s="1" t="s">
        <v>1357</v>
      </c>
      <c r="K12" s="4" t="s">
        <v>1358</v>
      </c>
      <c r="L12" s="1" t="s">
        <v>1328</v>
      </c>
      <c r="N12" s="1" t="s">
        <v>23</v>
      </c>
    </row>
    <row r="13">
      <c r="A13" s="1">
        <v>9463.0</v>
      </c>
      <c r="B13" s="140" t="s">
        <v>1359</v>
      </c>
      <c r="C13" s="140" t="str">
        <f>IFERROR(__xludf.DUMMYFUNCTION("GOOGLETRANSLATE(B13)"),"Automobile support plan")</f>
        <v>Automobile support plan</v>
      </c>
      <c r="D13" s="1" t="s">
        <v>1324</v>
      </c>
      <c r="E13" s="1" t="s">
        <v>1325</v>
      </c>
      <c r="F13" s="1" t="s">
        <v>234</v>
      </c>
      <c r="G13" s="140"/>
      <c r="H13" s="140">
        <v>2020.0</v>
      </c>
      <c r="I13" s="140" t="s">
        <v>811</v>
      </c>
      <c r="J13" s="1" t="s">
        <v>1360</v>
      </c>
      <c r="K13" s="4" t="s">
        <v>1361</v>
      </c>
      <c r="L13" s="1" t="s">
        <v>1328</v>
      </c>
      <c r="N13" s="1" t="s">
        <v>37</v>
      </c>
    </row>
    <row r="14">
      <c r="A14" s="146">
        <v>9463.0</v>
      </c>
      <c r="B14" s="147"/>
      <c r="C14" s="146" t="str">
        <f>IFERROR(__xludf.DUMMYFUNCTION("GOOGLETRANSLATE(B14)"),"#VALUE!")</f>
        <v>#VALUE!</v>
      </c>
      <c r="D14" s="146" t="s">
        <v>1324</v>
      </c>
      <c r="E14" s="146" t="s">
        <v>1325</v>
      </c>
      <c r="F14" s="147"/>
      <c r="G14" s="147"/>
      <c r="H14" s="147"/>
      <c r="I14" s="147"/>
      <c r="J14" s="146" t="s">
        <v>1362</v>
      </c>
      <c r="K14" s="148" t="s">
        <v>1363</v>
      </c>
      <c r="L14" s="146" t="s">
        <v>1328</v>
      </c>
      <c r="M14" s="147"/>
      <c r="N14" s="146" t="s">
        <v>326</v>
      </c>
      <c r="O14" s="147"/>
      <c r="P14" s="147"/>
      <c r="Q14" s="147"/>
      <c r="R14" s="147"/>
      <c r="S14" s="147"/>
      <c r="T14" s="147"/>
      <c r="U14" s="147"/>
      <c r="V14" s="147"/>
      <c r="W14" s="147"/>
      <c r="X14" s="147"/>
      <c r="Y14" s="147"/>
      <c r="Z14" s="147"/>
      <c r="AA14" s="147"/>
      <c r="AB14" s="147"/>
    </row>
    <row r="15">
      <c r="A15" s="1">
        <v>9474.0</v>
      </c>
      <c r="B15" s="140" t="s">
        <v>1364</v>
      </c>
      <c r="C15" s="140" t="str">
        <f>IFERROR(__xludf.DUMMYFUNCTION("GOOGLETRANSLATE(B15)"),"Multi -year energy programming (PPE)")</f>
        <v>Multi -year energy programming (PPE)</v>
      </c>
      <c r="D15" s="1" t="s">
        <v>1324</v>
      </c>
      <c r="E15" s="1" t="s">
        <v>1325</v>
      </c>
      <c r="F15" s="1" t="s">
        <v>850</v>
      </c>
      <c r="G15" s="140"/>
      <c r="H15" s="140">
        <v>2022.0</v>
      </c>
      <c r="I15" s="140" t="s">
        <v>811</v>
      </c>
      <c r="J15" s="1" t="s">
        <v>1365</v>
      </c>
      <c r="K15" s="4" t="s">
        <v>1366</v>
      </c>
      <c r="L15" s="1" t="s">
        <v>1328</v>
      </c>
      <c r="N15" s="1" t="s">
        <v>326</v>
      </c>
    </row>
    <row r="16">
      <c r="A16" s="1">
        <v>9474.0</v>
      </c>
      <c r="B16" s="140" t="s">
        <v>1367</v>
      </c>
      <c r="C16" s="140" t="str">
        <f>IFERROR(__xludf.DUMMYFUNCTION("GOOGLETRANSLATE(B16)"),"French strategy for energy and climate")</f>
        <v>French strategy for energy and climate</v>
      </c>
      <c r="D16" s="1" t="s">
        <v>1324</v>
      </c>
      <c r="E16" s="1" t="s">
        <v>1325</v>
      </c>
      <c r="F16" s="1" t="s">
        <v>144</v>
      </c>
      <c r="G16" s="140"/>
      <c r="H16" s="140">
        <v>2019.0</v>
      </c>
      <c r="I16" s="140" t="s">
        <v>811</v>
      </c>
      <c r="J16" s="1" t="s">
        <v>1368</v>
      </c>
      <c r="K16" s="4" t="s">
        <v>1369</v>
      </c>
      <c r="L16" s="1" t="s">
        <v>1328</v>
      </c>
      <c r="N16" s="1" t="s">
        <v>37</v>
      </c>
    </row>
    <row r="17">
      <c r="A17" s="1">
        <v>9474.0</v>
      </c>
      <c r="B17" s="140" t="s">
        <v>1370</v>
      </c>
      <c r="C17" s="140" t="str">
        <f>IFERROR(__xludf.DUMMYFUNCTION("GOOGLETRANSLATE(B17)"),"Decree No of April 21, 2020 relating to multi -year energy programming")</f>
        <v>Decree No of April 21, 2020 relating to multi -year energy programming</v>
      </c>
      <c r="D17" s="1" t="s">
        <v>1324</v>
      </c>
      <c r="E17" s="1" t="s">
        <v>1325</v>
      </c>
      <c r="F17" s="1" t="s">
        <v>18</v>
      </c>
      <c r="G17" s="140"/>
      <c r="H17" s="140">
        <v>2020.0</v>
      </c>
      <c r="I17" s="140" t="s">
        <v>811</v>
      </c>
      <c r="J17" s="1" t="s">
        <v>1371</v>
      </c>
      <c r="K17" s="4" t="s">
        <v>1372</v>
      </c>
      <c r="L17" s="1" t="s">
        <v>1328</v>
      </c>
      <c r="N17" s="1" t="s">
        <v>23</v>
      </c>
    </row>
    <row r="18">
      <c r="A18" s="145">
        <v>9632.0</v>
      </c>
      <c r="B18" s="145" t="s">
        <v>1373</v>
      </c>
      <c r="C18" s="145" t="s">
        <v>1374</v>
      </c>
      <c r="D18" s="1" t="s">
        <v>1324</v>
      </c>
      <c r="E18" s="1" t="s">
        <v>1325</v>
      </c>
      <c r="F18" s="1" t="s">
        <v>407</v>
      </c>
      <c r="G18" s="149"/>
      <c r="H18" s="149"/>
      <c r="I18" s="140" t="s">
        <v>24</v>
      </c>
      <c r="J18" s="1" t="s">
        <v>1375</v>
      </c>
      <c r="K18" s="4" t="s">
        <v>1376</v>
      </c>
      <c r="L18" s="1" t="s">
        <v>1328</v>
      </c>
      <c r="N18" s="1" t="s">
        <v>326</v>
      </c>
    </row>
    <row r="19">
      <c r="A19" s="1">
        <v>9632.0</v>
      </c>
      <c r="B19" s="140" t="s">
        <v>1377</v>
      </c>
      <c r="C19" s="18" t="s">
        <v>1378</v>
      </c>
      <c r="D19" s="1" t="s">
        <v>1324</v>
      </c>
      <c r="E19" s="1" t="s">
        <v>1325</v>
      </c>
      <c r="F19" s="1" t="s">
        <v>234</v>
      </c>
      <c r="G19" s="140"/>
      <c r="H19" s="140">
        <v>2020.0</v>
      </c>
      <c r="I19" s="140" t="s">
        <v>811</v>
      </c>
      <c r="J19" s="1" t="s">
        <v>1379</v>
      </c>
      <c r="K19" s="150" t="s">
        <v>1380</v>
      </c>
      <c r="L19" s="1" t="s">
        <v>1328</v>
      </c>
      <c r="N19" s="1" t="s">
        <v>37</v>
      </c>
    </row>
    <row r="20">
      <c r="A20" s="1">
        <v>9738.0</v>
      </c>
      <c r="B20" s="140" t="s">
        <v>1381</v>
      </c>
      <c r="C20" s="140" t="str">
        <f>IFERROR(__xludf.DUMMYFUNCTION("GOOGLETRANSLATE(B20)"),"
Modified by law n ° 2016-1888 of December 28, 2016 - Art. 1")</f>
        <v>
Modified by law n ° 2016-1888 of December 28, 2016 - Art. 1</v>
      </c>
      <c r="D20" s="1" t="s">
        <v>1324</v>
      </c>
      <c r="E20" s="1" t="s">
        <v>1325</v>
      </c>
      <c r="F20" s="1" t="s">
        <v>41</v>
      </c>
      <c r="G20" s="140"/>
      <c r="H20" s="140">
        <v>2016.0</v>
      </c>
      <c r="I20" s="140" t="s">
        <v>811</v>
      </c>
      <c r="J20" s="1" t="s">
        <v>1382</v>
      </c>
      <c r="K20" s="4" t="s">
        <v>1383</v>
      </c>
      <c r="L20" s="1" t="s">
        <v>1328</v>
      </c>
      <c r="N20" s="1" t="s">
        <v>275</v>
      </c>
    </row>
    <row r="21">
      <c r="A21" s="1">
        <v>9738.0</v>
      </c>
      <c r="B21" s="140" t="s">
        <v>1384</v>
      </c>
      <c r="C21" s="140" t="str">
        <f>IFERROR(__xludf.DUMMYFUNCTION("GOOGLETRANSLATE(B21)"),"Law n ° 2016-1888 of December 28, 2016 of modernization, development and protection of mountain territories (1)")</f>
        <v>Law n ° 2016-1888 of December 28, 2016 of modernization, development and protection of mountain territories (1)</v>
      </c>
      <c r="D21" s="1" t="s">
        <v>1324</v>
      </c>
      <c r="E21" s="1" t="s">
        <v>1325</v>
      </c>
      <c r="F21" s="1" t="s">
        <v>41</v>
      </c>
      <c r="G21" s="140"/>
      <c r="H21" s="140">
        <v>2016.0</v>
      </c>
      <c r="I21" s="140" t="s">
        <v>811</v>
      </c>
      <c r="J21" s="1" t="s">
        <v>1385</v>
      </c>
      <c r="K21" s="4" t="s">
        <v>1386</v>
      </c>
      <c r="L21" s="1" t="s">
        <v>1328</v>
      </c>
      <c r="N21" s="1" t="s">
        <v>275</v>
      </c>
    </row>
    <row r="22">
      <c r="A22" s="1">
        <v>10307.0</v>
      </c>
      <c r="B22" s="140" t="s">
        <v>1387</v>
      </c>
      <c r="C22" s="140" t="str">
        <f>IFERROR(__xludf.DUMMYFUNCTION("GOOGLETRANSLATE(B22)"),"The national ecological transition strategy towards sustainable development 2015-2020")</f>
        <v>The national ecological transition strategy towards sustainable development 2015-2020</v>
      </c>
      <c r="D22" s="1" t="s">
        <v>1324</v>
      </c>
      <c r="E22" s="1" t="s">
        <v>1325</v>
      </c>
      <c r="F22" s="1" t="s">
        <v>144</v>
      </c>
      <c r="G22" s="140"/>
      <c r="H22" s="140">
        <v>2019.0</v>
      </c>
      <c r="I22" s="140" t="s">
        <v>811</v>
      </c>
      <c r="J22" s="1" t="s">
        <v>1388</v>
      </c>
      <c r="K22" s="4" t="s">
        <v>1389</v>
      </c>
      <c r="L22" s="1" t="s">
        <v>1328</v>
      </c>
      <c r="N22" s="1" t="s">
        <v>326</v>
      </c>
    </row>
    <row r="23">
      <c r="A23" s="1">
        <v>10307.0</v>
      </c>
      <c r="B23" s="140" t="s">
        <v>1390</v>
      </c>
      <c r="C23" s="140" t="str">
        <f>IFERROR(__xludf.DUMMYFUNCTION("GOOGLETRANSLATE(B23)"),"National ecological transition strategy towards sustainable development")</f>
        <v>National ecological transition strategy towards sustainable development</v>
      </c>
      <c r="D23" s="1" t="s">
        <v>1324</v>
      </c>
      <c r="E23" s="1" t="s">
        <v>1325</v>
      </c>
      <c r="F23" s="1" t="s">
        <v>144</v>
      </c>
      <c r="G23" s="140"/>
      <c r="H23" s="140">
        <v>2015.0</v>
      </c>
      <c r="I23" s="140" t="s">
        <v>811</v>
      </c>
      <c r="J23" s="1" t="s">
        <v>1391</v>
      </c>
      <c r="K23" s="4" t="s">
        <v>1392</v>
      </c>
      <c r="L23" s="1" t="s">
        <v>1328</v>
      </c>
      <c r="N23" s="1" t="s">
        <v>37</v>
      </c>
    </row>
    <row r="24">
      <c r="A24" s="1">
        <v>10388.0</v>
      </c>
      <c r="B24" s="140" t="s">
        <v>1393</v>
      </c>
      <c r="C24" s="140" t="str">
        <f>IFERROR(__xludf.DUMMYFUNCTION("GOOGLETRANSLATE(B24)"),"Decree of March 14, 2016 validating the ""Adverse"" program within the framework of the system of energy savings certificates")</f>
        <v>Decree of March 14, 2016 validating the "Adverse" program within the framework of the system of energy savings certificates</v>
      </c>
      <c r="D24" s="1" t="s">
        <v>1324</v>
      </c>
      <c r="E24" s="1" t="s">
        <v>1325</v>
      </c>
      <c r="F24" s="1" t="s">
        <v>18</v>
      </c>
      <c r="G24" s="140"/>
      <c r="H24" s="140">
        <v>2016.0</v>
      </c>
      <c r="I24" s="140" t="s">
        <v>811</v>
      </c>
      <c r="J24" s="1" t="s">
        <v>1394</v>
      </c>
      <c r="K24" s="4" t="s">
        <v>1395</v>
      </c>
      <c r="L24" s="1" t="s">
        <v>1328</v>
      </c>
      <c r="N24" s="1" t="s">
        <v>275</v>
      </c>
    </row>
    <row r="25">
      <c r="A25" s="1">
        <v>10388.0</v>
      </c>
      <c r="B25" s="140" t="s">
        <v>1396</v>
      </c>
      <c r="C25" s="140" t="str">
        <f>IFERROR(__xludf.DUMMYFUNCTION("GOOGLETRANSLATE(B25)"),"Decree of December 10, 2021 creating a program as part of the system of energy savings certificates")</f>
        <v>Decree of December 10, 2021 creating a program as part of the system of energy savings certificates</v>
      </c>
      <c r="D25" s="1" t="s">
        <v>1324</v>
      </c>
      <c r="E25" s="1" t="s">
        <v>1325</v>
      </c>
      <c r="F25" s="1" t="s">
        <v>18</v>
      </c>
      <c r="G25" s="140"/>
      <c r="H25" s="140">
        <v>2021.0</v>
      </c>
      <c r="I25" s="140" t="s">
        <v>811</v>
      </c>
      <c r="J25" s="1" t="s">
        <v>1397</v>
      </c>
      <c r="K25" s="4" t="s">
        <v>1398</v>
      </c>
      <c r="L25" s="1" t="s">
        <v>1328</v>
      </c>
      <c r="N25" s="1" t="s">
        <v>275</v>
      </c>
    </row>
    <row r="26">
      <c r="A26" s="1">
        <v>10388.0</v>
      </c>
      <c r="B26" s="140" t="s">
        <v>1399</v>
      </c>
      <c r="C26" s="140" t="str">
        <f>IFERROR(__xludf.DUMMYFUNCTION("GOOGLETRANSLATE(B26)"),"The Recharge terminal financing program for electric vehicle")</f>
        <v>The Recharge terminal financing program for electric vehicle</v>
      </c>
      <c r="D26" s="1" t="s">
        <v>1324</v>
      </c>
      <c r="E26" s="1" t="s">
        <v>1325</v>
      </c>
      <c r="F26" s="1" t="s">
        <v>850</v>
      </c>
      <c r="G26" s="151"/>
      <c r="H26" s="151"/>
      <c r="I26" s="140" t="s">
        <v>811</v>
      </c>
      <c r="J26" s="1" t="s">
        <v>1400</v>
      </c>
      <c r="K26" s="4" t="s">
        <v>1401</v>
      </c>
      <c r="L26" s="1" t="s">
        <v>1328</v>
      </c>
      <c r="N26" s="1" t="s">
        <v>326</v>
      </c>
    </row>
    <row r="27">
      <c r="A27" s="1">
        <v>10488.0</v>
      </c>
      <c r="B27" s="140" t="s">
        <v>1402</v>
      </c>
      <c r="C27" s="140" t="str">
        <f>IFERROR(__xludf.DUMMYFUNCTION("GOOGLETRANSLATE(B27)"),"Bonus bike")</f>
        <v>Bonus bike</v>
      </c>
      <c r="D27" s="1" t="s">
        <v>1324</v>
      </c>
      <c r="E27" s="1" t="s">
        <v>1325</v>
      </c>
      <c r="F27" s="145" t="s">
        <v>850</v>
      </c>
      <c r="G27" s="145" t="s">
        <v>1340</v>
      </c>
      <c r="H27" s="151"/>
      <c r="I27" s="140" t="s">
        <v>811</v>
      </c>
      <c r="J27" s="1" t="s">
        <v>1403</v>
      </c>
      <c r="K27" s="150" t="s">
        <v>1404</v>
      </c>
      <c r="L27" s="1" t="s">
        <v>1328</v>
      </c>
      <c r="N27" s="1" t="s">
        <v>229</v>
      </c>
    </row>
    <row r="28">
      <c r="A28" s="1">
        <v>10488.0</v>
      </c>
      <c r="B28" s="140" t="s">
        <v>1405</v>
      </c>
      <c r="C28" s="140" t="str">
        <f>IFERROR(__xludf.DUMMYFUNCTION("GOOGLETRANSLATE(B28)"),"Energy Code: Sub-section 1: Award conditions (Articles D251-1 to D251-6)")</f>
        <v>Energy Code: Sub-section 1: Award conditions (Articles D251-1 to D251-6)</v>
      </c>
      <c r="D28" s="1" t="s">
        <v>1324</v>
      </c>
      <c r="E28" s="1" t="s">
        <v>1325</v>
      </c>
      <c r="F28" s="145" t="s">
        <v>41</v>
      </c>
      <c r="G28" s="145" t="s">
        <v>1340</v>
      </c>
      <c r="H28" s="151"/>
      <c r="I28" s="140" t="s">
        <v>811</v>
      </c>
      <c r="J28" s="1" t="s">
        <v>1406</v>
      </c>
      <c r="K28" s="4" t="s">
        <v>1407</v>
      </c>
      <c r="L28" s="1" t="s">
        <v>1328</v>
      </c>
      <c r="N28" s="1" t="s">
        <v>275</v>
      </c>
    </row>
    <row r="29">
      <c r="A29" s="1">
        <v>10488.0</v>
      </c>
      <c r="B29" s="140" t="s">
        <v>1408</v>
      </c>
      <c r="C29" s="140" t="str">
        <f>IFERROR(__xludf.DUMMYFUNCTION("GOOGLETRANSLATE(B29)"),"Energy Code: Sub-section 2: amounts and methods of payment of aid (articles D251-7 to D251-13)")</f>
        <v>Energy Code: Sub-section 2: amounts and methods of payment of aid (articles D251-7 to D251-13)</v>
      </c>
      <c r="D29" s="1" t="s">
        <v>1324</v>
      </c>
      <c r="E29" s="1" t="s">
        <v>1325</v>
      </c>
      <c r="F29" s="145" t="s">
        <v>41</v>
      </c>
      <c r="G29" s="145" t="s">
        <v>1340</v>
      </c>
      <c r="H29" s="151"/>
      <c r="I29" s="140" t="s">
        <v>811</v>
      </c>
      <c r="J29" s="1" t="s">
        <v>1409</v>
      </c>
      <c r="K29" s="4" t="s">
        <v>1410</v>
      </c>
      <c r="L29" s="1" t="s">
        <v>1328</v>
      </c>
      <c r="N29" s="1" t="s">
        <v>275</v>
      </c>
    </row>
    <row r="30">
      <c r="A30" s="1">
        <v>10488.0</v>
      </c>
      <c r="B30" s="140" t="s">
        <v>1411</v>
      </c>
      <c r="C30" s="140" t="str">
        <f>IFERROR(__xludf.DUMMYFUNCTION("GOOGLETRANSLATE(B30)"),"Decree n ° 2021-977 of July 23, 2021 relating to aid for the acquisition or rental of little polluting vehicles Decree n ° 2021-977 of July 23, 2021 relating to aid for the acquisition or rental of little polluting vehicles")</f>
        <v>Decree n ° 2021-977 of July 23, 2021 relating to aid for the acquisition or rental of little polluting vehicles Decree n ° 2021-977 of July 23, 2021 relating to aid for the acquisition or rental of little polluting vehicles</v>
      </c>
      <c r="D30" s="1" t="s">
        <v>1324</v>
      </c>
      <c r="E30" s="1" t="s">
        <v>1325</v>
      </c>
      <c r="F30" s="1" t="s">
        <v>18</v>
      </c>
      <c r="G30" s="140"/>
      <c r="H30" s="140">
        <v>2021.0</v>
      </c>
      <c r="I30" s="140" t="s">
        <v>811</v>
      </c>
      <c r="J30" s="1" t="s">
        <v>1412</v>
      </c>
      <c r="K30" s="150" t="s">
        <v>1413</v>
      </c>
      <c r="L30" s="1" t="s">
        <v>1328</v>
      </c>
      <c r="N30" s="1" t="s">
        <v>275</v>
      </c>
    </row>
    <row r="31">
      <c r="A31" s="1">
        <v>10488.0</v>
      </c>
      <c r="B31" s="140" t="s">
        <v>1414</v>
      </c>
      <c r="C31" s="140" t="str">
        <f>IFERROR(__xludf.DUMMYFUNCTION("GOOGLETRANSLATE(B31)"),"Official Journal of the French Republic")</f>
        <v>Official Journal of the French Republic</v>
      </c>
      <c r="D31" s="1" t="s">
        <v>1324</v>
      </c>
      <c r="E31" s="1" t="s">
        <v>1325</v>
      </c>
      <c r="F31" s="145" t="s">
        <v>18</v>
      </c>
      <c r="G31" s="145" t="s">
        <v>1340</v>
      </c>
      <c r="H31" s="151"/>
      <c r="I31" s="140" t="s">
        <v>811</v>
      </c>
      <c r="J31" s="4" t="s">
        <v>1415</v>
      </c>
      <c r="K31" s="4" t="s">
        <v>1416</v>
      </c>
      <c r="L31" s="1" t="s">
        <v>1328</v>
      </c>
      <c r="N31" s="1" t="s">
        <v>275</v>
      </c>
    </row>
    <row r="32">
      <c r="A32" s="1">
        <v>10488.0</v>
      </c>
      <c r="B32" s="140" t="s">
        <v>1417</v>
      </c>
      <c r="C32" s="140" t="str">
        <f>IFERROR(__xludf.DUMMYFUNCTION("GOOGLETRANSLATE(B32)"),"Decree n ° 2020-656 of May 30, 2020 relating to aid for the acquisition or rental of little polluting vehicles")</f>
        <v>Decree n ° 2020-656 of May 30, 2020 relating to aid for the acquisition or rental of little polluting vehicles</v>
      </c>
      <c r="D32" s="1" t="s">
        <v>1324</v>
      </c>
      <c r="E32" s="1" t="s">
        <v>1325</v>
      </c>
      <c r="F32" s="1" t="s">
        <v>18</v>
      </c>
      <c r="G32" s="140"/>
      <c r="H32" s="140">
        <v>2020.0</v>
      </c>
      <c r="I32" s="140" t="s">
        <v>811</v>
      </c>
      <c r="J32" s="4" t="s">
        <v>1418</v>
      </c>
      <c r="K32" s="4" t="s">
        <v>1419</v>
      </c>
      <c r="L32" s="1" t="s">
        <v>1328</v>
      </c>
      <c r="N32" s="1" t="s">
        <v>275</v>
      </c>
    </row>
    <row r="33">
      <c r="A33" s="1">
        <v>10488.0</v>
      </c>
      <c r="B33" s="140" t="s">
        <v>1420</v>
      </c>
      <c r="C33" s="140" t="str">
        <f>IFERROR(__xludf.DUMMYFUNCTION("GOOGLETRANSLATE(B33)"),"Order of December 29, 2017 relating to the management methods for the acquisition and rental of little polluting vehicles")</f>
        <v>Order of December 29, 2017 relating to the management methods for the acquisition and rental of little polluting vehicles</v>
      </c>
      <c r="D33" s="1" t="s">
        <v>1324</v>
      </c>
      <c r="E33" s="1" t="s">
        <v>1325</v>
      </c>
      <c r="F33" s="1" t="s">
        <v>1340</v>
      </c>
      <c r="G33" s="140"/>
      <c r="H33" s="140">
        <v>2017.0</v>
      </c>
      <c r="I33" s="140" t="s">
        <v>811</v>
      </c>
      <c r="J33" s="4" t="s">
        <v>1421</v>
      </c>
      <c r="K33" s="4" t="s">
        <v>1422</v>
      </c>
      <c r="L33" s="1" t="s">
        <v>1328</v>
      </c>
      <c r="N33" s="1" t="s">
        <v>275</v>
      </c>
    </row>
    <row r="34">
      <c r="A34" s="1">
        <v>10499.0</v>
      </c>
      <c r="B34" s="140" t="s">
        <v>1423</v>
      </c>
      <c r="C34" s="140" t="str">
        <f>IFERROR(__xludf.DUMMYFUNCTION("GOOGLETRANSLATE(B34)"),"France’s recovery and resilience plan")</f>
        <v>France’s recovery and resilience plan</v>
      </c>
      <c r="D34" s="1" t="s">
        <v>1324</v>
      </c>
      <c r="E34" s="1" t="s">
        <v>1325</v>
      </c>
      <c r="F34" s="1" t="s">
        <v>234</v>
      </c>
      <c r="G34" s="140"/>
      <c r="H34" s="140">
        <v>2021.0</v>
      </c>
      <c r="I34" s="140" t="s">
        <v>24</v>
      </c>
      <c r="J34" s="1" t="s">
        <v>1424</v>
      </c>
      <c r="K34" s="4" t="s">
        <v>1425</v>
      </c>
      <c r="L34" s="1" t="s">
        <v>1328</v>
      </c>
      <c r="N34" s="1" t="s">
        <v>92</v>
      </c>
    </row>
    <row r="35">
      <c r="A35" s="1">
        <v>10499.0</v>
      </c>
      <c r="B35" s="1" t="s">
        <v>1426</v>
      </c>
      <c r="C35" s="1" t="str">
        <f>IFERROR(__xludf.DUMMYFUNCTION("GOOGLETRANSLATE(B35)"),"Recovery and resilience plan for France - EU Decision")</f>
        <v>Recovery and resilience plan for France - EU Decision</v>
      </c>
      <c r="D35" s="1" t="s">
        <v>1324</v>
      </c>
      <c r="E35" s="1" t="s">
        <v>1325</v>
      </c>
      <c r="F35" s="1" t="s">
        <v>247</v>
      </c>
      <c r="G35" s="1"/>
      <c r="H35" s="1">
        <v>2021.0</v>
      </c>
      <c r="I35" s="1" t="s">
        <v>24</v>
      </c>
      <c r="J35" s="4" t="s">
        <v>1427</v>
      </c>
      <c r="K35" s="4" t="s">
        <v>1428</v>
      </c>
      <c r="L35" s="1" t="s">
        <v>1328</v>
      </c>
      <c r="N35" s="1" t="s">
        <v>92</v>
      </c>
    </row>
    <row r="36">
      <c r="A36" s="1">
        <v>10499.0</v>
      </c>
      <c r="B36" s="140" t="s">
        <v>1429</v>
      </c>
      <c r="C36" s="140" t="str">
        <f>IFERROR(__xludf.DUMMYFUNCTION("GOOGLETRANSLATE(B36)"),"National recovery and resilience plan")</f>
        <v>National recovery and resilience plan</v>
      </c>
      <c r="D36" s="1" t="s">
        <v>1324</v>
      </c>
      <c r="E36" s="1" t="s">
        <v>1325</v>
      </c>
      <c r="F36" s="1" t="s">
        <v>234</v>
      </c>
      <c r="G36" s="140"/>
      <c r="H36" s="140">
        <v>2021.0</v>
      </c>
      <c r="I36" s="140" t="s">
        <v>811</v>
      </c>
      <c r="J36" s="1" t="s">
        <v>1430</v>
      </c>
      <c r="K36" s="4" t="s">
        <v>1431</v>
      </c>
      <c r="L36" s="1" t="s">
        <v>1328</v>
      </c>
      <c r="N36" s="1" t="s">
        <v>23</v>
      </c>
    </row>
    <row r="37">
      <c r="A37" s="1">
        <v>10499.0</v>
      </c>
      <c r="B37" s="140" t="s">
        <v>1423</v>
      </c>
      <c r="C37" s="140" t="str">
        <f>IFERROR(__xludf.DUMMYFUNCTION("GOOGLETRANSLATE(B37)"),"France’s recovery and resilience plan")</f>
        <v>France’s recovery and resilience plan</v>
      </c>
      <c r="D37" s="1" t="s">
        <v>1324</v>
      </c>
      <c r="E37" s="1" t="s">
        <v>1325</v>
      </c>
      <c r="F37" s="1" t="s">
        <v>234</v>
      </c>
      <c r="G37" s="140"/>
      <c r="H37" s="140">
        <v>2021.0</v>
      </c>
      <c r="I37" s="140" t="s">
        <v>24</v>
      </c>
      <c r="J37" s="1" t="s">
        <v>1432</v>
      </c>
      <c r="K37" s="4" t="s">
        <v>1433</v>
      </c>
      <c r="L37" s="1" t="s">
        <v>1328</v>
      </c>
      <c r="N37" s="1" t="s">
        <v>23</v>
      </c>
    </row>
    <row r="38">
      <c r="A38" s="1">
        <v>10188.0</v>
      </c>
      <c r="B38" s="140" t="s">
        <v>1434</v>
      </c>
      <c r="C38" s="140" t="str">
        <f>IFERROR(__xludf.DUMMYFUNCTION("GOOGLETRANSLATE(B38)"),"
Resolution on the Creation of a Board of Climate Change")</f>
        <v>
Resolution on the Creation of a Board of Climate Change</v>
      </c>
      <c r="D38" s="1" t="s">
        <v>1435</v>
      </c>
      <c r="E38" s="1" t="s">
        <v>1436</v>
      </c>
      <c r="F38" s="145" t="s">
        <v>137</v>
      </c>
      <c r="G38" s="151"/>
      <c r="H38" s="151"/>
      <c r="I38" s="140" t="s">
        <v>1437</v>
      </c>
      <c r="J38" s="4" t="s">
        <v>1438</v>
      </c>
      <c r="K38" s="150" t="s">
        <v>1439</v>
      </c>
      <c r="L38" s="1" t="s">
        <v>1328</v>
      </c>
      <c r="N38" s="1" t="s">
        <v>326</v>
      </c>
    </row>
    <row r="39">
      <c r="A39" s="1">
        <v>10188.0</v>
      </c>
      <c r="B39" s="140" t="s">
        <v>1440</v>
      </c>
      <c r="C39" s="140" t="str">
        <f>IFERROR(__xludf.DUMMYFUNCTION("GOOGLETRANSLATE(B39)"),"
Resolution No. 214 on the Amendment to Resolution No. 54 of the Government of Georgia of January 23, 2020 on the Creation of the Climate Change Council")</f>
        <v>
Resolution No. 214 on the Amendment to Resolution No. 54 of the Government of Georgia of January 23, 2020 on the Creation of the Climate Change Council</v>
      </c>
      <c r="D39" s="1" t="s">
        <v>1435</v>
      </c>
      <c r="E39" s="1" t="s">
        <v>1436</v>
      </c>
      <c r="F39" s="145" t="s">
        <v>137</v>
      </c>
      <c r="G39" s="151"/>
      <c r="H39" s="151"/>
      <c r="I39" s="140" t="s">
        <v>1437</v>
      </c>
      <c r="J39" s="4" t="s">
        <v>1441</v>
      </c>
      <c r="K39" s="4" t="s">
        <v>1442</v>
      </c>
      <c r="L39" s="1" t="s">
        <v>1328</v>
      </c>
      <c r="N39" s="1" t="s">
        <v>326</v>
      </c>
    </row>
    <row r="40">
      <c r="A40" s="146">
        <v>10377.0</v>
      </c>
      <c r="B40" s="147"/>
      <c r="C40" s="146" t="str">
        <f>IFERROR(__xludf.DUMMYFUNCTION("GOOGLETRANSLATE(B40)"),"#VALUE!")</f>
        <v>#VALUE!</v>
      </c>
      <c r="D40" s="146" t="s">
        <v>1435</v>
      </c>
      <c r="E40" s="1" t="s">
        <v>1436</v>
      </c>
      <c r="F40" s="147"/>
      <c r="G40" s="147"/>
      <c r="H40" s="147"/>
      <c r="I40" s="147"/>
      <c r="J40" s="146" t="s">
        <v>1443</v>
      </c>
      <c r="K40" s="152" t="s">
        <v>1444</v>
      </c>
      <c r="L40" s="146" t="s">
        <v>1328</v>
      </c>
      <c r="M40" s="147"/>
      <c r="N40" s="146" t="s">
        <v>1445</v>
      </c>
      <c r="O40" s="147"/>
      <c r="P40" s="147"/>
      <c r="Q40" s="147"/>
      <c r="R40" s="147"/>
      <c r="S40" s="147"/>
      <c r="T40" s="147"/>
      <c r="U40" s="147"/>
      <c r="V40" s="147"/>
      <c r="W40" s="147"/>
      <c r="X40" s="147"/>
      <c r="Y40" s="147"/>
      <c r="Z40" s="147"/>
      <c r="AA40" s="147"/>
      <c r="AB40" s="147"/>
    </row>
    <row r="41">
      <c r="A41" s="1">
        <v>10377.0</v>
      </c>
      <c r="B41" s="140" t="s">
        <v>1446</v>
      </c>
      <c r="C41" s="140" t="str">
        <f>IFERROR(__xludf.DUMMYFUNCTION("GOOGLETRANSLATE(B41)"),"2021-2023 Climate Action Plan_ENG")</f>
        <v>2021-2023 Climate Action Plan_ENG</v>
      </c>
      <c r="D41" s="1" t="s">
        <v>1435</v>
      </c>
      <c r="E41" s="1" t="s">
        <v>1436</v>
      </c>
      <c r="F41" s="1" t="s">
        <v>234</v>
      </c>
      <c r="G41" s="140"/>
      <c r="H41" s="140">
        <v>2021.0</v>
      </c>
      <c r="I41" s="140" t="s">
        <v>24</v>
      </c>
      <c r="J41" s="1" t="s">
        <v>1447</v>
      </c>
      <c r="K41" s="4" t="s">
        <v>1448</v>
      </c>
      <c r="L41" s="1" t="s">
        <v>1328</v>
      </c>
      <c r="N41" s="1" t="s">
        <v>48</v>
      </c>
    </row>
    <row r="42">
      <c r="A42" s="1">
        <v>10400.0</v>
      </c>
      <c r="B42" s="140" t="s">
        <v>1449</v>
      </c>
      <c r="C42" s="140" t="str">
        <f>IFERROR(__xludf.DUMMYFUNCTION("GOOGLETRANSLATE(B42)"),"ON PROMOTING THE GENERATION AND CONSUMPTION OF ENERGY FROM RENEWABLE SOURCES")</f>
        <v>ON PROMOTING THE GENERATION AND CONSUMPTION OF ENERGY FROM RENEWABLE SOURCES</v>
      </c>
      <c r="D42" s="1" t="s">
        <v>1435</v>
      </c>
      <c r="E42" s="1" t="s">
        <v>1436</v>
      </c>
      <c r="F42" s="1" t="s">
        <v>41</v>
      </c>
      <c r="G42" s="140"/>
      <c r="H42" s="140">
        <v>2019.0</v>
      </c>
      <c r="I42" s="140" t="s">
        <v>24</v>
      </c>
      <c r="J42" s="4" t="s">
        <v>1450</v>
      </c>
      <c r="K42" s="4" t="s">
        <v>1451</v>
      </c>
      <c r="L42" s="1" t="s">
        <v>1328</v>
      </c>
      <c r="N42" s="1" t="s">
        <v>92</v>
      </c>
    </row>
    <row r="43">
      <c r="A43" s="1">
        <v>10400.0</v>
      </c>
      <c r="B43" s="140" t="s">
        <v>1452</v>
      </c>
      <c r="C43" s="140" t="str">
        <f>IFERROR(__xludf.DUMMYFUNCTION("GOOGLETRANSLATE(B43)"),"On Changes to the Law on Production and Use of Energy from Renewable Sources")</f>
        <v>On Changes to the Law on Production and Use of Energy from Renewable Sources</v>
      </c>
      <c r="D43" s="1" t="s">
        <v>1435</v>
      </c>
      <c r="E43" s="1" t="s">
        <v>1436</v>
      </c>
      <c r="F43" s="1" t="s">
        <v>41</v>
      </c>
      <c r="G43" s="140"/>
      <c r="H43" s="140">
        <v>2020.0</v>
      </c>
      <c r="I43" s="140" t="s">
        <v>1437</v>
      </c>
      <c r="J43" s="4" t="s">
        <v>1453</v>
      </c>
      <c r="K43" s="4" t="s">
        <v>1454</v>
      </c>
      <c r="L43" s="1" t="s">
        <v>1328</v>
      </c>
      <c r="N43" s="1" t="s">
        <v>326</v>
      </c>
    </row>
    <row r="44">
      <c r="A44" s="1">
        <v>10413.0</v>
      </c>
      <c r="B44" s="140" t="s">
        <v>1455</v>
      </c>
      <c r="C44" s="140" t="str">
        <f>IFERROR(__xludf.DUMMYFUNCTION("GOOGLETRANSLATE(B44)"),"Law of Georgia
Chapter I. General Provisions")</f>
        <v>Law of Georgia
Chapter I. General Provisions</v>
      </c>
      <c r="D44" s="1" t="s">
        <v>1435</v>
      </c>
      <c r="E44" s="1" t="s">
        <v>1436</v>
      </c>
      <c r="F44" s="1" t="s">
        <v>41</v>
      </c>
      <c r="G44" s="151"/>
      <c r="H44" s="151"/>
      <c r="I44" s="140" t="s">
        <v>1437</v>
      </c>
      <c r="J44" s="1" t="s">
        <v>1456</v>
      </c>
      <c r="K44" s="4" t="s">
        <v>1457</v>
      </c>
      <c r="L44" s="1" t="s">
        <v>1328</v>
      </c>
      <c r="N44" s="1" t="s">
        <v>23</v>
      </c>
    </row>
    <row r="45">
      <c r="A45" s="1">
        <v>10413.0</v>
      </c>
      <c r="B45" s="140" t="s">
        <v>1458</v>
      </c>
      <c r="C45" s="140" t="s">
        <v>1459</v>
      </c>
      <c r="D45" s="1" t="s">
        <v>1435</v>
      </c>
      <c r="E45" s="1" t="s">
        <v>1436</v>
      </c>
      <c r="F45" s="1" t="s">
        <v>850</v>
      </c>
      <c r="G45" s="140"/>
      <c r="H45" s="140">
        <v>2021.0</v>
      </c>
      <c r="I45" s="140" t="s">
        <v>1437</v>
      </c>
      <c r="J45" s="4" t="s">
        <v>1460</v>
      </c>
      <c r="K45" s="4" t="s">
        <v>1461</v>
      </c>
      <c r="L45" s="1" t="s">
        <v>1328</v>
      </c>
      <c r="N45" s="1" t="s">
        <v>326</v>
      </c>
    </row>
    <row r="46">
      <c r="A46" s="1">
        <v>10413.0</v>
      </c>
      <c r="B46" s="140" t="s">
        <v>1462</v>
      </c>
      <c r="C46" s="140" t="s">
        <v>1463</v>
      </c>
      <c r="D46" s="1" t="s">
        <v>1435</v>
      </c>
      <c r="E46" s="1" t="s">
        <v>1436</v>
      </c>
      <c r="F46" s="145" t="s">
        <v>137</v>
      </c>
      <c r="G46" s="140"/>
      <c r="H46" s="140">
        <v>2022.0</v>
      </c>
      <c r="I46" s="140" t="s">
        <v>1437</v>
      </c>
      <c r="J46" s="4" t="s">
        <v>1464</v>
      </c>
      <c r="K46" s="4" t="s">
        <v>1465</v>
      </c>
      <c r="L46" s="1" t="s">
        <v>1328</v>
      </c>
      <c r="N46" s="1" t="s">
        <v>326</v>
      </c>
    </row>
    <row r="47">
      <c r="A47" s="1">
        <v>1251.0</v>
      </c>
      <c r="B47" s="140" t="s">
        <v>1466</v>
      </c>
      <c r="C47" s="140" t="s">
        <v>1467</v>
      </c>
      <c r="D47" s="1" t="s">
        <v>1468</v>
      </c>
      <c r="E47" s="1" t="s">
        <v>1469</v>
      </c>
      <c r="F47" s="1" t="s">
        <v>144</v>
      </c>
      <c r="G47" s="140"/>
      <c r="H47" s="140">
        <v>2008.0</v>
      </c>
      <c r="I47" s="140" t="s">
        <v>1470</v>
      </c>
      <c r="J47" s="1" t="s">
        <v>1471</v>
      </c>
      <c r="K47" s="4" t="s">
        <v>1472</v>
      </c>
      <c r="L47" s="1" t="s">
        <v>1328</v>
      </c>
      <c r="N47" s="1" t="s">
        <v>23</v>
      </c>
    </row>
    <row r="48">
      <c r="A48" s="1">
        <v>1251.0</v>
      </c>
      <c r="B48" s="140" t="s">
        <v>1466</v>
      </c>
      <c r="C48" s="140" t="str">
        <f>IFERROR(__xludf.DUMMYFUNCTION("GOOGLETRANSLATE(B48)"),"German adaptation strategy to climate change")</f>
        <v>German adaptation strategy to climate change</v>
      </c>
      <c r="D48" s="1" t="s">
        <v>1468</v>
      </c>
      <c r="E48" s="1" t="s">
        <v>1469</v>
      </c>
      <c r="F48" s="1" t="s">
        <v>144</v>
      </c>
      <c r="G48" s="140"/>
      <c r="H48" s="140">
        <v>2008.0</v>
      </c>
      <c r="I48" s="140" t="s">
        <v>1470</v>
      </c>
      <c r="J48" s="1" t="s">
        <v>1473</v>
      </c>
      <c r="K48" s="4" t="s">
        <v>1474</v>
      </c>
      <c r="L48" s="1" t="s">
        <v>1328</v>
      </c>
      <c r="N48" s="1" t="s">
        <v>23</v>
      </c>
    </row>
    <row r="49">
      <c r="A49" s="1">
        <v>1254.0</v>
      </c>
      <c r="B49" s="140" t="s">
        <v>1475</v>
      </c>
      <c r="C49" s="140" t="str">
        <f>IFERROR(__xludf.DUMMYFUNCTION("GOOGLETRANSLATE(B49)"),"Law on the electricity and gas supply (Energy Industry Act - EnWG)")</f>
        <v>Law on the electricity and gas supply (Energy Industry Act - EnWG)</v>
      </c>
      <c r="D49" s="1" t="s">
        <v>1468</v>
      </c>
      <c r="E49" s="1" t="s">
        <v>1469</v>
      </c>
      <c r="F49" s="1" t="s">
        <v>41</v>
      </c>
      <c r="G49" s="140"/>
      <c r="H49" s="140">
        <v>2005.0</v>
      </c>
      <c r="I49" s="140" t="s">
        <v>1470</v>
      </c>
      <c r="J49" s="1" t="s">
        <v>1476</v>
      </c>
      <c r="K49" s="4" t="s">
        <v>1477</v>
      </c>
      <c r="L49" s="1" t="s">
        <v>1328</v>
      </c>
      <c r="N49" s="1" t="s">
        <v>23</v>
      </c>
    </row>
    <row r="50">
      <c r="A50" s="1">
        <v>1254.0</v>
      </c>
      <c r="B50" s="140" t="s">
        <v>1475</v>
      </c>
      <c r="C50" s="140" t="str">
        <f>IFERROR(__xludf.DUMMYFUNCTION("GOOGLETRANSLATE(B50)"),"Law on the electricity and gas supply (Energy Industry Act - EnWG)")</f>
        <v>Law on the electricity and gas supply (Energy Industry Act - EnWG)</v>
      </c>
      <c r="D50" s="1" t="s">
        <v>1468</v>
      </c>
      <c r="E50" s="1" t="s">
        <v>1469</v>
      </c>
      <c r="F50" s="1" t="s">
        <v>41</v>
      </c>
      <c r="G50" s="140"/>
      <c r="H50" s="140">
        <v>2005.0</v>
      </c>
      <c r="I50" s="140" t="s">
        <v>1470</v>
      </c>
      <c r="J50" s="1" t="s">
        <v>1478</v>
      </c>
      <c r="K50" s="4" t="s">
        <v>1479</v>
      </c>
      <c r="L50" s="1" t="s">
        <v>1328</v>
      </c>
      <c r="N50" s="1" t="s">
        <v>275</v>
      </c>
    </row>
    <row r="51">
      <c r="A51" s="1">
        <v>2072.0</v>
      </c>
      <c r="B51" s="140" t="s">
        <v>1480</v>
      </c>
      <c r="C51" s="140" t="str">
        <f>IFERROR(__xludf.DUMMYFUNCTION("GOOGLETRANSLATE(B51)"),"Law for the expansion of renewable energies (Renewable Energy Sources Act - EEG 2017)")</f>
        <v>Law for the expansion of renewable energies (Renewable Energy Sources Act - EEG 2017)</v>
      </c>
      <c r="D51" s="1" t="s">
        <v>1468</v>
      </c>
      <c r="E51" s="1" t="s">
        <v>1469</v>
      </c>
      <c r="F51" s="1" t="s">
        <v>41</v>
      </c>
      <c r="G51" s="140"/>
      <c r="H51" s="140">
        <v>2014.0</v>
      </c>
      <c r="I51" s="140" t="s">
        <v>1470</v>
      </c>
      <c r="J51" s="1" t="s">
        <v>1481</v>
      </c>
      <c r="K51" s="4" t="s">
        <v>1482</v>
      </c>
      <c r="L51" s="1" t="s">
        <v>1328</v>
      </c>
      <c r="N51" s="1" t="s">
        <v>23</v>
      </c>
    </row>
    <row r="52">
      <c r="A52" s="1">
        <v>2072.0</v>
      </c>
      <c r="B52" s="140" t="s">
        <v>1483</v>
      </c>
      <c r="C52" s="140" t="str">
        <f>IFERROR(__xludf.DUMMYFUNCTION("GOOGLETRANSLATE(B52)"),"Law for the expansion of renewable energies (Renewable Energy Sources Act - EEG 2021)")</f>
        <v>Law for the expansion of renewable energies (Renewable Energy Sources Act - EEG 2021)</v>
      </c>
      <c r="D52" s="1" t="s">
        <v>1468</v>
      </c>
      <c r="E52" s="1" t="s">
        <v>1469</v>
      </c>
      <c r="F52" s="1" t="s">
        <v>41</v>
      </c>
      <c r="G52" s="140"/>
      <c r="H52" s="140">
        <v>2014.0</v>
      </c>
      <c r="I52" s="140" t="s">
        <v>1470</v>
      </c>
      <c r="J52" s="1" t="s">
        <v>1484</v>
      </c>
      <c r="K52" s="4" t="s">
        <v>1485</v>
      </c>
      <c r="L52" s="1" t="s">
        <v>1328</v>
      </c>
      <c r="N52" s="1" t="s">
        <v>23</v>
      </c>
    </row>
    <row r="53">
      <c r="A53" s="1">
        <v>8934.0</v>
      </c>
      <c r="B53" s="140" t="s">
        <v>1486</v>
      </c>
      <c r="C53" s="140" t="str">
        <f>IFERROR(__xludf.DUMMYFUNCTION("GOOGLETRANSLATE(B53)"),"Law on the development and promotion of wind energy at sea (Windergie-on-Seee Act-Windseeg)")</f>
        <v>Law on the development and promotion of wind energy at sea (Windergie-on-Seee Act-Windseeg)</v>
      </c>
      <c r="D53" s="1" t="s">
        <v>1468</v>
      </c>
      <c r="E53" s="1" t="s">
        <v>1469</v>
      </c>
      <c r="F53" s="1" t="s">
        <v>41</v>
      </c>
      <c r="G53" s="140"/>
      <c r="H53" s="140">
        <v>2016.0</v>
      </c>
      <c r="I53" s="140" t="s">
        <v>1470</v>
      </c>
      <c r="J53" s="1" t="s">
        <v>1487</v>
      </c>
      <c r="K53" s="4" t="s">
        <v>1488</v>
      </c>
      <c r="L53" s="1" t="s">
        <v>1328</v>
      </c>
      <c r="N53" s="1" t="s">
        <v>23</v>
      </c>
    </row>
    <row r="54">
      <c r="A54" s="1">
        <v>8934.0</v>
      </c>
      <c r="B54" s="140" t="s">
        <v>1489</v>
      </c>
      <c r="C54" s="140" t="str">
        <f>IFERROR(__xludf.DUMMYFUNCTION("GOOGLETRANSLATE(B54)"),"Offshore Wind Energy Act (WindSeeG 2017)")</f>
        <v>Offshore Wind Energy Act (WindSeeG 2017)</v>
      </c>
      <c r="D54" s="1" t="s">
        <v>1468</v>
      </c>
      <c r="E54" s="1" t="s">
        <v>1469</v>
      </c>
      <c r="F54" s="1" t="s">
        <v>41</v>
      </c>
      <c r="G54" s="140"/>
      <c r="H54" s="140">
        <v>2017.0</v>
      </c>
      <c r="I54" s="140" t="s">
        <v>24</v>
      </c>
      <c r="J54" s="1" t="s">
        <v>1490</v>
      </c>
      <c r="K54" s="4" t="s">
        <v>1491</v>
      </c>
      <c r="L54" s="1" t="s">
        <v>1328</v>
      </c>
      <c r="N54" s="1" t="s">
        <v>23</v>
      </c>
    </row>
    <row r="55">
      <c r="A55" s="1">
        <v>8934.0</v>
      </c>
      <c r="B55" s="140" t="s">
        <v>1486</v>
      </c>
      <c r="C55" s="140" t="str">
        <f>IFERROR(__xludf.DUMMYFUNCTION("GOOGLETRANSLATE(B55)"),"Law on the development and promotion of wind energy at sea (Windergie-on-Seee Act-Windseeg)")</f>
        <v>Law on the development and promotion of wind energy at sea (Windergie-on-Seee Act-Windseeg)</v>
      </c>
      <c r="D55" s="1" t="s">
        <v>1468</v>
      </c>
      <c r="E55" s="1" t="s">
        <v>1469</v>
      </c>
      <c r="F55" s="1" t="s">
        <v>41</v>
      </c>
      <c r="G55" s="140"/>
      <c r="H55" s="140">
        <v>2016.0</v>
      </c>
      <c r="I55" s="140" t="s">
        <v>1470</v>
      </c>
      <c r="J55" s="1" t="s">
        <v>1492</v>
      </c>
      <c r="K55" s="4" t="s">
        <v>1493</v>
      </c>
      <c r="L55" s="1" t="s">
        <v>1328</v>
      </c>
      <c r="N55" s="1" t="s">
        <v>23</v>
      </c>
    </row>
    <row r="56">
      <c r="A56" s="1">
        <v>8934.0</v>
      </c>
      <c r="B56" s="140" t="s">
        <v>1486</v>
      </c>
      <c r="C56" s="140" t="str">
        <f>IFERROR(__xludf.DUMMYFUNCTION("GOOGLETRANSLATE(B56)"),"Law on the development and promotion of wind energy at sea (Windergie-on-Seee Act-Windseeg)")</f>
        <v>Law on the development and promotion of wind energy at sea (Windergie-on-Seee Act-Windseeg)</v>
      </c>
      <c r="D56" s="1" t="s">
        <v>1468</v>
      </c>
      <c r="E56" s="1" t="s">
        <v>1469</v>
      </c>
      <c r="F56" s="1" t="s">
        <v>41</v>
      </c>
      <c r="G56" s="151"/>
      <c r="H56" s="151"/>
      <c r="I56" s="140" t="s">
        <v>1470</v>
      </c>
      <c r="J56" s="1" t="s">
        <v>1494</v>
      </c>
      <c r="K56" s="4" t="s">
        <v>1495</v>
      </c>
      <c r="L56" s="1" t="s">
        <v>1328</v>
      </c>
      <c r="N56" s="1" t="s">
        <v>275</v>
      </c>
    </row>
    <row r="57">
      <c r="A57" s="1">
        <v>9409.0</v>
      </c>
      <c r="B57" s="140" t="s">
        <v>1496</v>
      </c>
      <c r="C57" s="140" t="str">
        <f>IFERROR(__xludf.DUMMYFUNCTION("GOOGLETRANSLATE(B57)"),"Federal Law Gazette Part I No. 48")</f>
        <v>Federal Law Gazette Part I No. 48</v>
      </c>
      <c r="D57" s="1" t="s">
        <v>1468</v>
      </c>
      <c r="E57" s="1" t="s">
        <v>1469</v>
      </c>
      <c r="F57" s="1" t="s">
        <v>41</v>
      </c>
      <c r="G57" s="140"/>
      <c r="H57" s="140">
        <v>2019.0</v>
      </c>
      <c r="I57" s="140" t="s">
        <v>1470</v>
      </c>
      <c r="J57" s="4" t="s">
        <v>1497</v>
      </c>
      <c r="K57" s="4" t="s">
        <v>1498</v>
      </c>
      <c r="L57" s="1" t="s">
        <v>1328</v>
      </c>
      <c r="N57" s="1" t="s">
        <v>229</v>
      </c>
    </row>
    <row r="58">
      <c r="A58" s="142">
        <v>9409.0</v>
      </c>
      <c r="B58" s="143"/>
      <c r="C58" s="142" t="str">
        <f>IFERROR(__xludf.DUMMYFUNCTION("GOOGLETRANSLATE(B58)"),"#VALUE!")</f>
        <v>#VALUE!</v>
      </c>
      <c r="D58" s="142" t="s">
        <v>1468</v>
      </c>
      <c r="E58" s="142" t="s">
        <v>1469</v>
      </c>
      <c r="F58" s="143"/>
      <c r="G58" s="143"/>
      <c r="H58" s="143"/>
      <c r="I58" s="143"/>
      <c r="J58" s="142" t="s">
        <v>1499</v>
      </c>
      <c r="K58" s="144" t="s">
        <v>1500</v>
      </c>
      <c r="L58" s="142" t="s">
        <v>1328</v>
      </c>
      <c r="M58" s="143"/>
      <c r="N58" s="142" t="s">
        <v>92</v>
      </c>
      <c r="O58" s="143"/>
      <c r="P58" s="143"/>
      <c r="Q58" s="143"/>
      <c r="R58" s="143"/>
      <c r="S58" s="143"/>
      <c r="T58" s="143"/>
      <c r="U58" s="143"/>
      <c r="V58" s="143"/>
      <c r="W58" s="143"/>
      <c r="X58" s="143"/>
      <c r="Y58" s="143"/>
      <c r="Z58" s="143"/>
      <c r="AA58" s="143"/>
      <c r="AB58" s="143"/>
    </row>
    <row r="59">
      <c r="A59" s="1">
        <v>9409.0</v>
      </c>
      <c r="B59" s="140" t="s">
        <v>1501</v>
      </c>
      <c r="C59" s="140" t="str">
        <f>IFERROR(__xludf.DUMMYFUNCTION("GOOGLETRANSLATE(B59)"),"Federal Climate Change Act")</f>
        <v>Federal Climate Change Act</v>
      </c>
      <c r="D59" s="1" t="s">
        <v>1468</v>
      </c>
      <c r="E59" s="1" t="s">
        <v>1469</v>
      </c>
      <c r="F59" s="1" t="s">
        <v>45</v>
      </c>
      <c r="G59" s="140"/>
      <c r="H59" s="140">
        <v>2019.0</v>
      </c>
      <c r="I59" s="140" t="s">
        <v>24</v>
      </c>
      <c r="J59" s="1" t="s">
        <v>1502</v>
      </c>
      <c r="K59" s="4" t="s">
        <v>1503</v>
      </c>
      <c r="L59" s="1" t="s">
        <v>1328</v>
      </c>
      <c r="N59" s="1" t="s">
        <v>23</v>
      </c>
    </row>
    <row r="60">
      <c r="A60" s="1">
        <v>9409.0</v>
      </c>
      <c r="B60" s="140" t="s">
        <v>1504</v>
      </c>
      <c r="C60" s="140" t="str">
        <f>IFERROR(__xludf.DUMMYFUNCTION("GOOGLETRANSLATE(B60)"),"Reading of the Federal Climate Protection Act 2021")</f>
        <v>Reading of the Federal Climate Protection Act 2021</v>
      </c>
      <c r="D60" s="1" t="s">
        <v>1468</v>
      </c>
      <c r="E60" s="1" t="s">
        <v>1469</v>
      </c>
      <c r="F60" s="1" t="s">
        <v>45</v>
      </c>
      <c r="G60" s="140"/>
      <c r="H60" s="140">
        <v>2021.0</v>
      </c>
      <c r="I60" s="140" t="s">
        <v>1470</v>
      </c>
      <c r="J60" s="1" t="s">
        <v>1505</v>
      </c>
      <c r="K60" s="4" t="s">
        <v>1506</v>
      </c>
      <c r="L60" s="1" t="s">
        <v>1328</v>
      </c>
      <c r="N60" s="1" t="s">
        <v>23</v>
      </c>
    </row>
    <row r="61">
      <c r="A61" s="1">
        <v>9409.0</v>
      </c>
      <c r="B61" s="140" t="s">
        <v>1507</v>
      </c>
      <c r="C61" s="140" t="str">
        <f>IFERROR(__xludf.DUMMYFUNCTION("GOOGLETRANSLATE(B61)"),"Climate Change Act 2021")</f>
        <v>Climate Change Act 2021</v>
      </c>
      <c r="D61" s="1" t="s">
        <v>1468</v>
      </c>
      <c r="E61" s="1" t="s">
        <v>1469</v>
      </c>
      <c r="F61" s="1" t="s">
        <v>45</v>
      </c>
      <c r="G61" s="140"/>
      <c r="H61" s="140">
        <v>2021.0</v>
      </c>
      <c r="I61" s="140" t="s">
        <v>24</v>
      </c>
      <c r="J61" s="1" t="s">
        <v>1508</v>
      </c>
      <c r="K61" s="4" t="s">
        <v>1509</v>
      </c>
      <c r="L61" s="1" t="s">
        <v>1328</v>
      </c>
      <c r="N61" s="1" t="s">
        <v>229</v>
      </c>
    </row>
    <row r="62">
      <c r="A62" s="1">
        <v>9503.0</v>
      </c>
      <c r="B62" s="140" t="s">
        <v>1510</v>
      </c>
      <c r="C62" s="140" t="str">
        <f>IFERROR(__xludf.DUMMYFUNCTION("GOOGLETRANSLATE(B62)"),"Integrated National Energy and Climate Plan")</f>
        <v>Integrated National Energy and Climate Plan</v>
      </c>
      <c r="D62" s="1" t="s">
        <v>1468</v>
      </c>
      <c r="E62" s="1" t="s">
        <v>1469</v>
      </c>
      <c r="F62" s="1" t="s">
        <v>234</v>
      </c>
      <c r="G62" s="140"/>
      <c r="H62" s="140">
        <v>2019.0</v>
      </c>
      <c r="I62" s="140" t="s">
        <v>24</v>
      </c>
      <c r="J62" s="1" t="s">
        <v>1511</v>
      </c>
      <c r="K62" s="4" t="s">
        <v>1512</v>
      </c>
      <c r="L62" s="1" t="s">
        <v>1328</v>
      </c>
      <c r="N62" s="1" t="s">
        <v>23</v>
      </c>
    </row>
    <row r="63">
      <c r="A63" s="1">
        <v>9503.0</v>
      </c>
      <c r="B63" s="140" t="s">
        <v>1513</v>
      </c>
      <c r="C63" s="140" t="str">
        <f>IFERROR(__xludf.DUMMYFUNCTION("GOOGLETRANSLATE(B63)"),"Integrated national energy and climate plan")</f>
        <v>Integrated national energy and climate plan</v>
      </c>
      <c r="D63" s="1" t="s">
        <v>1468</v>
      </c>
      <c r="E63" s="1" t="s">
        <v>1469</v>
      </c>
      <c r="F63" s="1" t="s">
        <v>234</v>
      </c>
      <c r="G63" s="140"/>
      <c r="H63" s="140">
        <v>2019.0</v>
      </c>
      <c r="I63" s="140" t="s">
        <v>1470</v>
      </c>
      <c r="J63" s="1" t="s">
        <v>1514</v>
      </c>
      <c r="K63" s="4" t="s">
        <v>1515</v>
      </c>
      <c r="L63" s="1" t="s">
        <v>1328</v>
      </c>
      <c r="N63" s="1" t="s">
        <v>23</v>
      </c>
    </row>
    <row r="64">
      <c r="A64" s="1">
        <v>9723.0</v>
      </c>
      <c r="B64" s="140" t="s">
        <v>1516</v>
      </c>
      <c r="C64" s="140" t="str">
        <f>IFERROR(__xludf.DUMMYFUNCTION("GOOGLETRANSLATE(B64)"),"Law on a national certificate trade for fuel emissions")</f>
        <v>Law on a national certificate trade for fuel emissions</v>
      </c>
      <c r="D64" s="1" t="s">
        <v>1468</v>
      </c>
      <c r="E64" s="1" t="s">
        <v>1469</v>
      </c>
      <c r="F64" s="1" t="s">
        <v>41</v>
      </c>
      <c r="G64" s="153"/>
      <c r="H64" s="153"/>
      <c r="I64" s="140" t="s">
        <v>1470</v>
      </c>
      <c r="J64" s="1" t="s">
        <v>1517</v>
      </c>
      <c r="K64" s="4" t="s">
        <v>1518</v>
      </c>
      <c r="L64" s="1" t="s">
        <v>1328</v>
      </c>
      <c r="N64" s="1" t="s">
        <v>275</v>
      </c>
    </row>
    <row r="65">
      <c r="A65" s="1">
        <v>9723.0</v>
      </c>
      <c r="B65" s="140" t="s">
        <v>1519</v>
      </c>
      <c r="C65" s="140" t="str">
        <f>IFERROR(__xludf.DUMMYFUNCTION("GOOGLETRANSLATE(B65)"),"Design of a first law to change the fuel emission trade law")</f>
        <v>Design of a first law to change the fuel emission trade law</v>
      </c>
      <c r="D65" s="1" t="s">
        <v>1468</v>
      </c>
      <c r="E65" s="1" t="s">
        <v>1469</v>
      </c>
      <c r="F65" s="1" t="s">
        <v>41</v>
      </c>
      <c r="G65" s="140"/>
      <c r="H65" s="140">
        <v>2020.0</v>
      </c>
      <c r="I65" s="140" t="s">
        <v>1470</v>
      </c>
      <c r="J65" s="1" t="s">
        <v>1520</v>
      </c>
      <c r="K65" s="4" t="s">
        <v>1521</v>
      </c>
      <c r="L65" s="1" t="s">
        <v>1328</v>
      </c>
      <c r="N65" s="1" t="s">
        <v>23</v>
      </c>
    </row>
    <row r="66">
      <c r="A66" s="1">
        <v>9723.0</v>
      </c>
      <c r="B66" s="140" t="s">
        <v>1522</v>
      </c>
      <c r="C66" s="140" t="str">
        <f>IFERROR(__xludf.DUMMYFUNCTION("GOOGLETRANSLATE(B66)"),"Introduction to the templates transferred to the committees in accordance with Section 80 (3) and Section 92 of the Procedures")</f>
        <v>Introduction to the templates transferred to the committees in accordance with Section 80 (3) and Section 92 of the Procedures</v>
      </c>
      <c r="D66" s="1" t="s">
        <v>1468</v>
      </c>
      <c r="E66" s="1" t="s">
        <v>1469</v>
      </c>
      <c r="F66" s="145" t="s">
        <v>45</v>
      </c>
      <c r="G66" s="140" t="s">
        <v>45</v>
      </c>
      <c r="H66" s="140">
        <v>2020.0</v>
      </c>
      <c r="I66" s="140" t="s">
        <v>1470</v>
      </c>
      <c r="J66" s="1" t="s">
        <v>1523</v>
      </c>
      <c r="K66" s="4" t="s">
        <v>1524</v>
      </c>
      <c r="L66" s="1" t="s">
        <v>1328</v>
      </c>
      <c r="N66" s="1" t="s">
        <v>23</v>
      </c>
    </row>
    <row r="67">
      <c r="A67" s="1">
        <v>10500.0</v>
      </c>
      <c r="B67" s="140" t="s">
        <v>1525</v>
      </c>
      <c r="C67" s="140" t="str">
        <f>IFERROR(__xludf.DUMMYFUNCTION("GOOGLETRANSLATE(B67)"),"Germany’s recovery and resilience plan")</f>
        <v>Germany’s recovery and resilience plan</v>
      </c>
      <c r="D67" s="1" t="s">
        <v>1468</v>
      </c>
      <c r="E67" s="1" t="s">
        <v>1469</v>
      </c>
      <c r="F67" s="1" t="s">
        <v>234</v>
      </c>
      <c r="G67" s="140"/>
      <c r="H67" s="140">
        <v>2021.0</v>
      </c>
      <c r="I67" s="140" t="s">
        <v>24</v>
      </c>
      <c r="J67" s="1" t="s">
        <v>1526</v>
      </c>
      <c r="K67" s="4" t="s">
        <v>1527</v>
      </c>
      <c r="L67" s="1" t="s">
        <v>1328</v>
      </c>
      <c r="N67" s="1" t="s">
        <v>92</v>
      </c>
    </row>
    <row r="68">
      <c r="A68" s="1">
        <v>10500.0</v>
      </c>
      <c r="B68" s="1" t="s">
        <v>1528</v>
      </c>
      <c r="C68" s="1" t="str">
        <f>IFERROR(__xludf.DUMMYFUNCTION("GOOGLETRANSLATE(B68)"),"Recovery and resilience plan for Germany - EU Decision")</f>
        <v>Recovery and resilience plan for Germany - EU Decision</v>
      </c>
      <c r="D68" s="1" t="s">
        <v>1468</v>
      </c>
      <c r="E68" s="1" t="s">
        <v>1469</v>
      </c>
      <c r="F68" s="1" t="s">
        <v>247</v>
      </c>
      <c r="G68" s="1"/>
      <c r="H68" s="1">
        <v>2021.0</v>
      </c>
      <c r="I68" s="1" t="s">
        <v>24</v>
      </c>
      <c r="J68" s="4" t="s">
        <v>1529</v>
      </c>
      <c r="K68" s="4" t="s">
        <v>1530</v>
      </c>
      <c r="L68" s="1" t="s">
        <v>1328</v>
      </c>
      <c r="N68" s="1" t="s">
        <v>92</v>
      </c>
    </row>
    <row r="69">
      <c r="A69" s="1">
        <v>10500.0</v>
      </c>
      <c r="B69" s="140" t="s">
        <v>1531</v>
      </c>
      <c r="C69" s="140" t="str">
        <f>IFERROR(__xludf.DUMMYFUNCTION("GOOGLETRANSLATE(B69)"),"Factsheet: Germany’s recovery and resilience plan")</f>
        <v>Factsheet: Germany’s recovery and resilience plan</v>
      </c>
      <c r="D69" s="1" t="s">
        <v>1468</v>
      </c>
      <c r="E69" s="1" t="s">
        <v>1469</v>
      </c>
      <c r="F69" s="145" t="s">
        <v>1532</v>
      </c>
      <c r="G69" s="145" t="s">
        <v>234</v>
      </c>
      <c r="H69" s="151"/>
      <c r="I69" s="140" t="s">
        <v>24</v>
      </c>
      <c r="J69" s="1" t="s">
        <v>1533</v>
      </c>
      <c r="K69" s="4" t="s">
        <v>1534</v>
      </c>
      <c r="L69" s="1" t="s">
        <v>1328</v>
      </c>
      <c r="N69" s="1" t="s">
        <v>92</v>
      </c>
    </row>
    <row r="70">
      <c r="A70" s="1">
        <v>10500.0</v>
      </c>
      <c r="B70" s="140" t="s">
        <v>1535</v>
      </c>
      <c r="C70" s="140" t="str">
        <f>IFERROR(__xludf.DUMMYFUNCTION("GOOGLETRANSLATE(B70)"),"German structure and resilience plan (DARP)")</f>
        <v>German structure and resilience plan (DARP)</v>
      </c>
      <c r="D70" s="1" t="s">
        <v>1468</v>
      </c>
      <c r="E70" s="1" t="s">
        <v>1469</v>
      </c>
      <c r="F70" s="1" t="s">
        <v>234</v>
      </c>
      <c r="G70" s="140"/>
      <c r="H70" s="140">
        <v>2020.0</v>
      </c>
      <c r="I70" s="140" t="s">
        <v>24</v>
      </c>
      <c r="J70" s="1" t="s">
        <v>1536</v>
      </c>
      <c r="K70" s="4" t="s">
        <v>1537</v>
      </c>
      <c r="L70" s="1" t="s">
        <v>1328</v>
      </c>
      <c r="N70" s="1" t="s">
        <v>839</v>
      </c>
    </row>
    <row r="71">
      <c r="A71" s="1">
        <v>1262.0</v>
      </c>
      <c r="B71" s="140" t="s">
        <v>1538</v>
      </c>
      <c r="C71" s="140" t="str">
        <f>IFERROR(__xludf.DUMMYFUNCTION("GOOGLETRANSLATE(B71)"),"GHANA SHARED GROWTH AND DEVELOPMENT AGENDA (GSGDA) II")</f>
        <v>GHANA SHARED GROWTH AND DEVELOPMENT AGENDA (GSGDA) II</v>
      </c>
      <c r="D71" s="1" t="s">
        <v>1539</v>
      </c>
      <c r="E71" s="1" t="s">
        <v>1540</v>
      </c>
      <c r="F71" s="1" t="s">
        <v>1541</v>
      </c>
      <c r="G71" s="140"/>
      <c r="H71" s="140">
        <v>2015.0</v>
      </c>
      <c r="I71" s="140" t="s">
        <v>24</v>
      </c>
      <c r="J71" s="1" t="s">
        <v>1542</v>
      </c>
      <c r="K71" s="4" t="s">
        <v>1543</v>
      </c>
      <c r="L71" s="1" t="s">
        <v>1328</v>
      </c>
      <c r="N71" s="1" t="s">
        <v>37</v>
      </c>
    </row>
    <row r="72">
      <c r="A72" s="1">
        <v>1262.0</v>
      </c>
      <c r="B72" s="140" t="s">
        <v>1538</v>
      </c>
      <c r="C72" s="140" t="str">
        <f>IFERROR(__xludf.DUMMYFUNCTION("GOOGLETRANSLATE(B72)"),"GHANA SHARED GROWTH AND DEVELOPMENT AGENDA (GSGDA) II")</f>
        <v>GHANA SHARED GROWTH AND DEVELOPMENT AGENDA (GSGDA) II</v>
      </c>
      <c r="D72" s="1" t="s">
        <v>1539</v>
      </c>
      <c r="E72" s="1" t="s">
        <v>1540</v>
      </c>
      <c r="F72" s="1" t="s">
        <v>1541</v>
      </c>
      <c r="G72" s="140"/>
      <c r="H72" s="140">
        <v>2014.0</v>
      </c>
      <c r="I72" s="140" t="s">
        <v>24</v>
      </c>
      <c r="J72" s="1" t="s">
        <v>1544</v>
      </c>
      <c r="K72" s="4" t="s">
        <v>1545</v>
      </c>
      <c r="L72" s="1" t="s">
        <v>1328</v>
      </c>
      <c r="N72" s="1" t="s">
        <v>37</v>
      </c>
    </row>
    <row r="73">
      <c r="A73" s="1">
        <v>8683.0</v>
      </c>
      <c r="B73" s="140" t="s">
        <v>1546</v>
      </c>
      <c r="C73" s="140" t="str">
        <f>IFERROR(__xludf.DUMMYFUNCTION("GOOGLETRANSLATE(B73)"),"NEW SUPPORT CONSTRUCTION OF ELECTRICAL ENERGY PRODUCTION STATIONS")</f>
        <v>NEW SUPPORT CONSTRUCTION OF ELECTRICAL ENERGY PRODUCTION STATIONS</v>
      </c>
      <c r="D73" s="1" t="s">
        <v>1547</v>
      </c>
      <c r="E73" s="1" t="s">
        <v>1548</v>
      </c>
      <c r="F73" s="145" t="s">
        <v>41</v>
      </c>
      <c r="G73" s="140" t="s">
        <v>41</v>
      </c>
      <c r="H73" s="140">
        <v>2012.0</v>
      </c>
      <c r="I73" s="140" t="s">
        <v>24</v>
      </c>
      <c r="J73" s="1" t="s">
        <v>1549</v>
      </c>
      <c r="K73" s="4" t="s">
        <v>1550</v>
      </c>
      <c r="L73" s="1" t="s">
        <v>1328</v>
      </c>
      <c r="N73" s="1" t="s">
        <v>326</v>
      </c>
    </row>
    <row r="74">
      <c r="A74" s="1">
        <v>8683.0</v>
      </c>
      <c r="B74" s="140" t="s">
        <v>1551</v>
      </c>
      <c r="C74" s="140" t="str">
        <f>IFERROR(__xludf.DUMMYFUNCTION("GOOGLETRANSLATE(B74)"),"GOVERNMENT JOURNAL OF GREEK DEMOCRATION")</f>
        <v>GOVERNMENT JOURNAL OF GREEK DEMOCRATION</v>
      </c>
      <c r="D74" s="1" t="s">
        <v>1547</v>
      </c>
      <c r="E74" s="1" t="s">
        <v>1548</v>
      </c>
      <c r="F74" s="145" t="s">
        <v>41</v>
      </c>
      <c r="G74" s="140" t="s">
        <v>41</v>
      </c>
      <c r="H74" s="140">
        <v>2016.0</v>
      </c>
      <c r="I74" s="140" t="s">
        <v>1552</v>
      </c>
      <c r="J74" s="1" t="s">
        <v>1553</v>
      </c>
      <c r="K74" s="4" t="s">
        <v>1554</v>
      </c>
      <c r="L74" s="1" t="s">
        <v>1328</v>
      </c>
      <c r="N74" s="1" t="s">
        <v>23</v>
      </c>
    </row>
    <row r="75">
      <c r="A75" s="1">
        <v>8704.0</v>
      </c>
      <c r="B75" s="140" t="s">
        <v>1555</v>
      </c>
      <c r="C75" s="140" t="str">
        <f>IFERROR(__xludf.DUMMYFUNCTION("GOOGLETRANSLATE(B75)"),"NATIONAL STRATEGY FOR ACCESSIBLE CLIMATE CHANGE")</f>
        <v>NATIONAL STRATEGY FOR ACCESSIBLE CLIMATE CHANGE</v>
      </c>
      <c r="D75" s="1" t="s">
        <v>1547</v>
      </c>
      <c r="E75" s="1" t="s">
        <v>1548</v>
      </c>
      <c r="F75" s="1" t="s">
        <v>144</v>
      </c>
      <c r="G75" s="140"/>
      <c r="H75" s="140">
        <v>2016.0</v>
      </c>
      <c r="I75" s="140" t="s">
        <v>1552</v>
      </c>
      <c r="J75" s="1" t="s">
        <v>1556</v>
      </c>
      <c r="K75" s="150" t="s">
        <v>1557</v>
      </c>
      <c r="L75" s="1" t="s">
        <v>1328</v>
      </c>
      <c r="N75" s="1" t="s">
        <v>23</v>
      </c>
    </row>
    <row r="76">
      <c r="A76" s="1">
        <v>8704.0</v>
      </c>
      <c r="B76" s="140" t="s">
        <v>1558</v>
      </c>
      <c r="C76" s="140" t="str">
        <f>IFERROR(__xludf.DUMMYFUNCTION("GOOGLETRANSLATE(B76)"),"NATIONAL CLIMATE CHANGE ADAPTATION STRATEGY")</f>
        <v>NATIONAL CLIMATE CHANGE ADAPTATION STRATEGY</v>
      </c>
      <c r="D76" s="1" t="s">
        <v>1547</v>
      </c>
      <c r="E76" s="1" t="s">
        <v>1548</v>
      </c>
      <c r="F76" s="1" t="s">
        <v>144</v>
      </c>
      <c r="G76" s="140"/>
      <c r="H76" s="140">
        <v>2016.0</v>
      </c>
      <c r="I76" s="140" t="s">
        <v>24</v>
      </c>
      <c r="J76" s="1" t="s">
        <v>1559</v>
      </c>
      <c r="K76" s="4" t="s">
        <v>1560</v>
      </c>
      <c r="L76" s="1" t="s">
        <v>1328</v>
      </c>
      <c r="N76" s="1" t="s">
        <v>23</v>
      </c>
    </row>
    <row r="77">
      <c r="A77" s="1">
        <v>9439.0</v>
      </c>
      <c r="B77" s="140" t="s">
        <v>1561</v>
      </c>
      <c r="C77" s="140" t="str">
        <f>IFERROR(__xludf.DUMMYFUNCTION("GOOGLETRANSLATE(B77)"),"Law 4685/2020-Government Gazette 92/A/7-5-2020 (coded)
")</f>
        <v>Law 4685/2020-Government Gazette 92/A/7-5-2020 (coded)
</v>
      </c>
      <c r="D77" s="1" t="s">
        <v>1547</v>
      </c>
      <c r="E77" s="1" t="s">
        <v>1548</v>
      </c>
      <c r="F77" s="1" t="s">
        <v>41</v>
      </c>
      <c r="G77" s="140"/>
      <c r="H77" s="140">
        <v>2020.0</v>
      </c>
      <c r="I77" s="140" t="s">
        <v>1552</v>
      </c>
      <c r="J77" s="1" t="s">
        <v>1562</v>
      </c>
      <c r="K77" s="4" t="s">
        <v>1563</v>
      </c>
      <c r="L77" s="1" t="s">
        <v>1328</v>
      </c>
      <c r="N77" s="1" t="s">
        <v>92</v>
      </c>
    </row>
    <row r="78">
      <c r="A78" s="1">
        <v>9439.0</v>
      </c>
      <c r="B78" s="140" t="s">
        <v>1564</v>
      </c>
      <c r="C78" s="140" t="str">
        <f>IFERROR(__xludf.DUMMYFUNCTION("GOOGLETRANSLATE(B78)"),"LEGISLATION PROJECT")</f>
        <v>LEGISLATION PROJECT</v>
      </c>
      <c r="D78" s="1" t="s">
        <v>1547</v>
      </c>
      <c r="E78" s="1" t="s">
        <v>1548</v>
      </c>
      <c r="F78" s="145" t="s">
        <v>41</v>
      </c>
      <c r="G78" s="140" t="s">
        <v>41</v>
      </c>
      <c r="H78" s="140">
        <v>2020.0</v>
      </c>
      <c r="I78" s="140" t="s">
        <v>1552</v>
      </c>
      <c r="J78" s="4" t="s">
        <v>1565</v>
      </c>
      <c r="K78" s="4" t="s">
        <v>1566</v>
      </c>
      <c r="L78" s="1" t="s">
        <v>1328</v>
      </c>
      <c r="N78" s="1" t="s">
        <v>92</v>
      </c>
    </row>
    <row r="79">
      <c r="A79" s="1">
        <v>9504.0</v>
      </c>
      <c r="B79" s="140" t="s">
        <v>1567</v>
      </c>
      <c r="C79" s="140" t="str">
        <f>IFERROR(__xludf.DUMMYFUNCTION("GOOGLETRANSLATE(B79)"),"National Energy and Climate Plan")</f>
        <v>National Energy and Climate Plan</v>
      </c>
      <c r="D79" s="1" t="s">
        <v>1547</v>
      </c>
      <c r="E79" s="1" t="s">
        <v>1548</v>
      </c>
      <c r="F79" s="1" t="s">
        <v>234</v>
      </c>
      <c r="G79" s="140"/>
      <c r="H79" s="140">
        <v>2019.0</v>
      </c>
      <c r="I79" s="140" t="s">
        <v>24</v>
      </c>
      <c r="J79" s="1" t="s">
        <v>1568</v>
      </c>
      <c r="K79" s="4" t="s">
        <v>1569</v>
      </c>
      <c r="L79" s="1" t="s">
        <v>1328</v>
      </c>
      <c r="N79" s="1" t="s">
        <v>23</v>
      </c>
    </row>
    <row r="80">
      <c r="A80" s="1">
        <v>9504.0</v>
      </c>
      <c r="B80" s="1" t="s">
        <v>1567</v>
      </c>
      <c r="C80" s="1" t="str">
        <f>IFERROR(__xludf.DUMMYFUNCTION("GOOGLETRANSLATE(B80)"),"National Energy and Climate Plan")</f>
        <v>National Energy and Climate Plan</v>
      </c>
      <c r="D80" s="1" t="s">
        <v>1547</v>
      </c>
      <c r="E80" s="1" t="s">
        <v>1548</v>
      </c>
      <c r="F80" s="1" t="s">
        <v>234</v>
      </c>
      <c r="G80" s="1"/>
      <c r="H80" s="1">
        <v>2019.0</v>
      </c>
      <c r="I80" s="1" t="s">
        <v>1552</v>
      </c>
      <c r="J80" s="1" t="s">
        <v>1570</v>
      </c>
      <c r="K80" s="4" t="s">
        <v>1571</v>
      </c>
      <c r="L80" s="1" t="s">
        <v>1328</v>
      </c>
      <c r="N80" s="1" t="s">
        <v>23</v>
      </c>
    </row>
    <row r="81">
      <c r="A81" s="1">
        <v>10501.0</v>
      </c>
      <c r="B81" s="140" t="s">
        <v>1572</v>
      </c>
      <c r="C81" s="140" t="str">
        <f>IFERROR(__xludf.DUMMYFUNCTION("GOOGLETRANSLATE(B81)"),"Greece’s recovery and resilience plan")</f>
        <v>Greece’s recovery and resilience plan</v>
      </c>
      <c r="D81" s="1" t="s">
        <v>1547</v>
      </c>
      <c r="E81" s="1" t="s">
        <v>1548</v>
      </c>
      <c r="F81" s="1" t="s">
        <v>234</v>
      </c>
      <c r="G81" s="140"/>
      <c r="H81" s="140">
        <v>2021.0</v>
      </c>
      <c r="I81" s="140" t="s">
        <v>24</v>
      </c>
      <c r="J81" s="1" t="s">
        <v>1573</v>
      </c>
      <c r="K81" s="4" t="s">
        <v>1574</v>
      </c>
      <c r="L81" s="1" t="s">
        <v>1328</v>
      </c>
      <c r="N81" s="1" t="s">
        <v>92</v>
      </c>
    </row>
    <row r="82">
      <c r="A82" s="1">
        <v>10501.0</v>
      </c>
      <c r="B82" s="1" t="s">
        <v>1575</v>
      </c>
      <c r="C82" s="1" t="str">
        <f>IFERROR(__xludf.DUMMYFUNCTION("GOOGLETRANSLATE(B82)"),"Recovery and resilience plan for Greece - EU Decision")</f>
        <v>Recovery and resilience plan for Greece - EU Decision</v>
      </c>
      <c r="D82" s="1" t="s">
        <v>1547</v>
      </c>
      <c r="E82" s="1" t="s">
        <v>1548</v>
      </c>
      <c r="F82" s="1" t="s">
        <v>247</v>
      </c>
      <c r="G82" s="1"/>
      <c r="H82" s="1">
        <v>2021.0</v>
      </c>
      <c r="I82" s="1" t="s">
        <v>24</v>
      </c>
      <c r="J82" s="4" t="s">
        <v>1576</v>
      </c>
      <c r="K82" s="4" t="s">
        <v>1577</v>
      </c>
      <c r="L82" s="1" t="s">
        <v>1328</v>
      </c>
      <c r="N82" s="1" t="s">
        <v>92</v>
      </c>
    </row>
    <row r="83">
      <c r="A83" s="1">
        <v>10501.0</v>
      </c>
      <c r="B83" s="140" t="s">
        <v>1578</v>
      </c>
      <c r="C83" s="140" t="str">
        <f>IFERROR(__xludf.DUMMYFUNCTION("GOOGLETRANSLATE(B83)"),"Factsheet: Greece’s recovery and resilience plan")</f>
        <v>Factsheet: Greece’s recovery and resilience plan</v>
      </c>
      <c r="D83" s="1" t="s">
        <v>1547</v>
      </c>
      <c r="E83" s="1" t="s">
        <v>1548</v>
      </c>
      <c r="F83" s="7" t="s">
        <v>234</v>
      </c>
      <c r="G83" s="140"/>
      <c r="H83" s="140">
        <v>2021.0</v>
      </c>
      <c r="I83" s="140" t="s">
        <v>24</v>
      </c>
      <c r="J83" s="1" t="s">
        <v>1579</v>
      </c>
      <c r="K83" s="4" t="s">
        <v>1580</v>
      </c>
      <c r="L83" s="1" t="s">
        <v>1328</v>
      </c>
      <c r="N83" s="1" t="s">
        <v>92</v>
      </c>
    </row>
    <row r="84">
      <c r="A84" s="1">
        <v>10501.0</v>
      </c>
      <c r="B84" s="140" t="s">
        <v>1572</v>
      </c>
      <c r="C84" s="140" t="str">
        <f>IFERROR(__xludf.DUMMYFUNCTION("GOOGLETRANSLATE(B84)"),"Greece’s recovery and resilience plan")</f>
        <v>Greece’s recovery and resilience plan</v>
      </c>
      <c r="D84" s="1" t="s">
        <v>1547</v>
      </c>
      <c r="E84" s="1" t="s">
        <v>1548</v>
      </c>
      <c r="F84" s="1" t="s">
        <v>234</v>
      </c>
      <c r="G84" s="1"/>
      <c r="H84" s="1">
        <v>2021.0</v>
      </c>
      <c r="I84" s="140" t="s">
        <v>1552</v>
      </c>
      <c r="J84" s="1" t="s">
        <v>1581</v>
      </c>
      <c r="K84" s="4" t="s">
        <v>1582</v>
      </c>
      <c r="L84" s="1" t="s">
        <v>1328</v>
      </c>
      <c r="N84" s="1" t="s">
        <v>92</v>
      </c>
    </row>
    <row r="85">
      <c r="A85" s="1">
        <v>10501.0</v>
      </c>
      <c r="B85" s="140" t="s">
        <v>1583</v>
      </c>
      <c r="C85" s="140" t="str">
        <f>IFERROR(__xludf.DUMMYFUNCTION("GOOGLETRANSLATE(B85)"),"Greece 2.0")</f>
        <v>Greece 2.0</v>
      </c>
      <c r="D85" s="1" t="s">
        <v>1547</v>
      </c>
      <c r="E85" s="1" t="s">
        <v>1548</v>
      </c>
      <c r="F85" s="1" t="s">
        <v>234</v>
      </c>
      <c r="G85" s="140"/>
      <c r="H85" s="140">
        <v>2021.0</v>
      </c>
      <c r="I85" s="140" t="s">
        <v>1552</v>
      </c>
      <c r="J85" s="1" t="s">
        <v>1584</v>
      </c>
      <c r="K85" s="4" t="s">
        <v>1585</v>
      </c>
      <c r="L85" s="1" t="s">
        <v>1328</v>
      </c>
      <c r="N85" s="1" t="s">
        <v>326</v>
      </c>
    </row>
    <row r="86">
      <c r="A86" s="1">
        <v>10244.0</v>
      </c>
      <c r="B86" s="140" t="s">
        <v>1586</v>
      </c>
      <c r="C86" s="140" t="str">
        <f>IFERROR(__xludf.DUMMYFUNCTION("GOOGLETRANSLATE(B86)"),"National Economic and Social Development Plan 2016-2020")</f>
        <v>National Economic and Social Development Plan 2016-2020</v>
      </c>
      <c r="D86" s="1" t="s">
        <v>1587</v>
      </c>
      <c r="E86" s="1" t="s">
        <v>1588</v>
      </c>
      <c r="F86" s="1" t="s">
        <v>234</v>
      </c>
      <c r="G86" s="140"/>
      <c r="H86" s="140">
        <v>2016.0</v>
      </c>
      <c r="I86" s="140" t="s">
        <v>811</v>
      </c>
      <c r="J86" s="1" t="s">
        <v>1589</v>
      </c>
      <c r="K86" s="4" t="s">
        <v>1590</v>
      </c>
      <c r="L86" s="1" t="s">
        <v>1328</v>
      </c>
      <c r="N86" s="1" t="s">
        <v>23</v>
      </c>
    </row>
    <row r="87">
      <c r="A87" s="1">
        <v>10244.0</v>
      </c>
      <c r="B87" s="140" t="s">
        <v>1591</v>
      </c>
      <c r="C87" s="140" t="str">
        <f>IFERROR(__xludf.DUMMYFUNCTION("GOOGLETRANSLATE(B87)"),"The National Economic and Social Development Plan (PNDES) 2016-2020")</f>
        <v>The National Economic and Social Development Plan (PNDES) 2016-2020</v>
      </c>
      <c r="D87" s="1" t="s">
        <v>1587</v>
      </c>
      <c r="E87" s="1" t="s">
        <v>1588</v>
      </c>
      <c r="F87" s="1" t="s">
        <v>234</v>
      </c>
      <c r="G87" s="140"/>
      <c r="H87" s="140">
        <v>2016.0</v>
      </c>
      <c r="I87" s="140" t="s">
        <v>811</v>
      </c>
      <c r="J87" s="1" t="s">
        <v>1592</v>
      </c>
      <c r="K87" s="4" t="s">
        <v>1593</v>
      </c>
      <c r="L87" s="1" t="s">
        <v>1328</v>
      </c>
      <c r="N87" s="1" t="s">
        <v>92</v>
      </c>
    </row>
    <row r="88">
      <c r="A88" s="1">
        <v>4275.0</v>
      </c>
      <c r="B88" s="140" t="s">
        <v>1594</v>
      </c>
      <c r="C88" s="140" t="str">
        <f>IFERROR(__xludf.DUMMYFUNCTION("GOOGLETRANSLATE(B88)"),"Legislative Power Decree No. 66-2014")</f>
        <v>Legislative Power Decree No. 66-2014</v>
      </c>
      <c r="D88" s="1" t="s">
        <v>1595</v>
      </c>
      <c r="E88" s="1" t="s">
        <v>1596</v>
      </c>
      <c r="F88" s="1" t="s">
        <v>18</v>
      </c>
      <c r="G88" s="140"/>
      <c r="H88" s="140">
        <v>2013.0</v>
      </c>
      <c r="I88" s="140" t="s">
        <v>924</v>
      </c>
      <c r="J88" s="1" t="s">
        <v>1597</v>
      </c>
      <c r="K88" s="4" t="s">
        <v>1598</v>
      </c>
      <c r="L88" s="1" t="s">
        <v>1328</v>
      </c>
      <c r="N88" s="1" t="s">
        <v>23</v>
      </c>
    </row>
    <row r="89">
      <c r="A89" s="1">
        <v>4275.0</v>
      </c>
      <c r="B89" s="140" t="s">
        <v>1599</v>
      </c>
      <c r="C89" s="140" t="str">
        <f>IFERROR(__xludf.DUMMYFUNCTION("GOOGLETRANSLATE(B89)"),"Legislative Power Decree No. 297-2013")</f>
        <v>Legislative Power Decree No. 297-2013</v>
      </c>
      <c r="D89" s="1" t="s">
        <v>1595</v>
      </c>
      <c r="E89" s="1" t="s">
        <v>1596</v>
      </c>
      <c r="F89" s="1" t="s">
        <v>18</v>
      </c>
      <c r="G89" s="140"/>
      <c r="H89" s="140">
        <v>2014.0</v>
      </c>
      <c r="I89" s="140" t="s">
        <v>924</v>
      </c>
      <c r="J89" s="1" t="s">
        <v>1600</v>
      </c>
      <c r="K89" s="4" t="s">
        <v>1601</v>
      </c>
      <c r="L89" s="1" t="s">
        <v>1328</v>
      </c>
      <c r="N89" s="1" t="s">
        <v>23</v>
      </c>
    </row>
    <row r="90">
      <c r="A90" s="1">
        <v>10323.0</v>
      </c>
      <c r="B90" s="140" t="s">
        <v>1602</v>
      </c>
      <c r="C90" s="140" t="str">
        <f>IFERROR(__xludf.DUMMYFUNCTION("GOOGLETRANSLATE(B90)"),"National Forest Policy, Protected Areas and Wildlife")</f>
        <v>National Forest Policy, Protected Areas and Wildlife</v>
      </c>
      <c r="D90" s="1" t="s">
        <v>1595</v>
      </c>
      <c r="E90" s="1" t="s">
        <v>1596</v>
      </c>
      <c r="F90" s="1" t="s">
        <v>407</v>
      </c>
      <c r="G90" s="140"/>
      <c r="H90" s="140">
        <v>2013.0</v>
      </c>
      <c r="I90" s="140" t="s">
        <v>924</v>
      </c>
      <c r="J90" s="1" t="s">
        <v>1603</v>
      </c>
      <c r="K90" s="150" t="s">
        <v>1604</v>
      </c>
      <c r="L90" s="1" t="s">
        <v>1328</v>
      </c>
      <c r="N90" s="1" t="s">
        <v>23</v>
      </c>
    </row>
    <row r="91">
      <c r="A91" s="1">
        <v>10323.0</v>
      </c>
      <c r="B91" s="140" t="s">
        <v>1605</v>
      </c>
      <c r="C91" s="140" t="str">
        <f>IFERROR(__xludf.DUMMYFUNCTION("GOOGLETRANSLATE(B91)"),"National Forestry Program, Protected Areas and Wildlife Pronafor")</f>
        <v>National Forestry Program, Protected Areas and Wildlife Pronafor</v>
      </c>
      <c r="D91" s="1" t="s">
        <v>1595</v>
      </c>
      <c r="E91" s="1" t="s">
        <v>1596</v>
      </c>
      <c r="F91" s="1" t="s">
        <v>850</v>
      </c>
      <c r="G91" s="140"/>
      <c r="H91" s="140">
        <v>2009.0</v>
      </c>
      <c r="I91" s="140" t="s">
        <v>924</v>
      </c>
      <c r="J91" s="1" t="s">
        <v>1606</v>
      </c>
      <c r="K91" s="4" t="s">
        <v>1607</v>
      </c>
      <c r="L91" s="1" t="s">
        <v>1328</v>
      </c>
      <c r="N91" s="1" t="s">
        <v>23</v>
      </c>
    </row>
    <row r="92">
      <c r="A92" s="1">
        <v>1299.0</v>
      </c>
      <c r="B92" s="140" t="s">
        <v>1608</v>
      </c>
      <c r="C92" s="140" t="str">
        <f>IFERROR(__xludf.DUMMYFUNCTION("GOOGLETRANSLATE(B92)"),"National Climate Change Strategy 2008-2025")</f>
        <v>National Climate Change Strategy 2008-2025</v>
      </c>
      <c r="D92" s="1" t="s">
        <v>1609</v>
      </c>
      <c r="E92" s="1" t="s">
        <v>1610</v>
      </c>
      <c r="F92" s="1" t="s">
        <v>144</v>
      </c>
      <c r="G92" s="140"/>
      <c r="H92" s="140">
        <v>2008.0</v>
      </c>
      <c r="I92" s="140" t="s">
        <v>1611</v>
      </c>
      <c r="J92" s="1" t="s">
        <v>1612</v>
      </c>
      <c r="K92" s="4" t="s">
        <v>1613</v>
      </c>
      <c r="L92" s="1" t="s">
        <v>1328</v>
      </c>
      <c r="N92" s="1" t="s">
        <v>23</v>
      </c>
    </row>
    <row r="93">
      <c r="A93" s="1">
        <v>1299.0</v>
      </c>
      <c r="B93" s="140" t="s">
        <v>1614</v>
      </c>
      <c r="C93" s="140" t="str">
        <f>IFERROR(__xludf.DUMMYFUNCTION("GOOGLETRANSLATE(B93)"),"NATIONAL CLIMATE CHANGE STRATEGY")</f>
        <v>NATIONAL CLIMATE CHANGE STRATEGY</v>
      </c>
      <c r="D93" s="1" t="s">
        <v>1609</v>
      </c>
      <c r="E93" s="1" t="s">
        <v>1610</v>
      </c>
      <c r="F93" s="1" t="s">
        <v>144</v>
      </c>
      <c r="G93" s="140"/>
      <c r="H93" s="140">
        <v>2008.0</v>
      </c>
      <c r="I93" s="140" t="s">
        <v>24</v>
      </c>
      <c r="J93" s="1" t="s">
        <v>1615</v>
      </c>
      <c r="K93" s="4" t="s">
        <v>1616</v>
      </c>
      <c r="L93" s="1" t="s">
        <v>1328</v>
      </c>
      <c r="N93" s="1" t="s">
        <v>23</v>
      </c>
    </row>
    <row r="94">
      <c r="A94" s="1">
        <v>9505.0</v>
      </c>
      <c r="B94" s="140" t="s">
        <v>1567</v>
      </c>
      <c r="C94" s="140" t="str">
        <f>IFERROR(__xludf.DUMMYFUNCTION("GOOGLETRANSLATE(B94)"),"National Energy and Climate Plan")</f>
        <v>National Energy and Climate Plan</v>
      </c>
      <c r="D94" s="1" t="s">
        <v>1609</v>
      </c>
      <c r="E94" s="1" t="s">
        <v>1610</v>
      </c>
      <c r="F94" s="1" t="s">
        <v>234</v>
      </c>
      <c r="G94" s="1"/>
      <c r="H94" s="1">
        <v>2019.0</v>
      </c>
      <c r="I94" s="140" t="s">
        <v>24</v>
      </c>
      <c r="J94" s="1" t="s">
        <v>1617</v>
      </c>
      <c r="K94" s="4" t="s">
        <v>1618</v>
      </c>
      <c r="L94" s="1" t="s">
        <v>1328</v>
      </c>
      <c r="N94" s="1" t="s">
        <v>23</v>
      </c>
    </row>
    <row r="95">
      <c r="A95" s="1">
        <v>9505.0</v>
      </c>
      <c r="B95" s="140" t="s">
        <v>1619</v>
      </c>
      <c r="C95" s="140" t="str">
        <f>IFERROR(__xludf.DUMMYFUNCTION("GOOGLETRANSLATE(B95)"),"National energy and climate plan")</f>
        <v>National energy and climate plan</v>
      </c>
      <c r="D95" s="1" t="s">
        <v>1609</v>
      </c>
      <c r="E95" s="1" t="s">
        <v>1610</v>
      </c>
      <c r="F95" s="1" t="s">
        <v>234</v>
      </c>
      <c r="G95" s="1"/>
      <c r="H95" s="1">
        <v>2019.0</v>
      </c>
      <c r="I95" s="140" t="s">
        <v>1611</v>
      </c>
      <c r="J95" s="1" t="s">
        <v>1620</v>
      </c>
      <c r="K95" s="4" t="s">
        <v>1621</v>
      </c>
      <c r="L95" s="1" t="s">
        <v>1328</v>
      </c>
      <c r="N95" s="1" t="s">
        <v>23</v>
      </c>
    </row>
    <row r="96">
      <c r="A96" s="1">
        <v>10102.0</v>
      </c>
      <c r="B96" s="140" t="s">
        <v>1622</v>
      </c>
      <c r="C96" s="140" t="str">
        <f>IFERROR(__xludf.DUMMYFUNCTION("GOOGLETRANSLATE(B96)"),"HUNGARY’S NATIONAL HYDROGEN STRATEGY")</f>
        <v>HUNGARY’S NATIONAL HYDROGEN STRATEGY</v>
      </c>
      <c r="D96" s="1" t="s">
        <v>1609</v>
      </c>
      <c r="E96" s="1" t="s">
        <v>1610</v>
      </c>
      <c r="F96" s="1" t="s">
        <v>144</v>
      </c>
      <c r="G96" s="140"/>
      <c r="H96" s="140">
        <v>2021.0</v>
      </c>
      <c r="I96" s="140" t="s">
        <v>24</v>
      </c>
      <c r="J96" s="1" t="s">
        <v>1623</v>
      </c>
      <c r="K96" s="4" t="s">
        <v>1624</v>
      </c>
      <c r="L96" s="1" t="s">
        <v>1328</v>
      </c>
      <c r="N96" s="1" t="s">
        <v>23</v>
      </c>
    </row>
    <row r="97">
      <c r="A97" s="1">
        <v>10102.0</v>
      </c>
      <c r="B97" s="140" t="s">
        <v>1625</v>
      </c>
      <c r="C97" s="140" t="str">
        <f>IFERROR(__xludf.DUMMYFUNCTION("GOOGLETRANSLATE(B97)"),"Hungary's National Hydrogen Strategy")</f>
        <v>Hungary's National Hydrogen Strategy</v>
      </c>
      <c r="D97" s="1" t="s">
        <v>1609</v>
      </c>
      <c r="E97" s="1" t="s">
        <v>1610</v>
      </c>
      <c r="F97" s="1" t="s">
        <v>144</v>
      </c>
      <c r="G97" s="140"/>
      <c r="H97" s="140">
        <v>2021.0</v>
      </c>
      <c r="I97" s="140" t="s">
        <v>1611</v>
      </c>
      <c r="J97" s="1" t="s">
        <v>1626</v>
      </c>
      <c r="K97" s="4" t="s">
        <v>1627</v>
      </c>
      <c r="L97" s="1" t="s">
        <v>1328</v>
      </c>
      <c r="N97" s="1" t="s">
        <v>37</v>
      </c>
    </row>
    <row r="98">
      <c r="A98" s="1">
        <v>10502.0</v>
      </c>
      <c r="B98" s="140" t="s">
        <v>1628</v>
      </c>
      <c r="C98" s="140" t="str">
        <f>IFERROR(__xludf.DUMMYFUNCTION("GOOGLETRANSLATE(B98)"),"Hungary’s recovery and resilience plan")</f>
        <v>Hungary’s recovery and resilience plan</v>
      </c>
      <c r="D98" s="1" t="s">
        <v>1609</v>
      </c>
      <c r="E98" s="1" t="s">
        <v>1610</v>
      </c>
      <c r="F98" s="1" t="s">
        <v>234</v>
      </c>
      <c r="G98" s="1"/>
      <c r="H98" s="1">
        <v>2021.0</v>
      </c>
      <c r="I98" s="140" t="s">
        <v>24</v>
      </c>
      <c r="J98" s="1" t="s">
        <v>1629</v>
      </c>
      <c r="K98" s="4" t="s">
        <v>1630</v>
      </c>
      <c r="L98" s="1" t="s">
        <v>1328</v>
      </c>
      <c r="N98" s="1" t="s">
        <v>37</v>
      </c>
    </row>
    <row r="99">
      <c r="A99" s="1">
        <v>10502.0</v>
      </c>
      <c r="B99" s="140" t="s">
        <v>1631</v>
      </c>
      <c r="C99" s="140" t="str">
        <f>IFERROR(__xludf.DUMMYFUNCTION("GOOGLETRANSLATE(B99)"),"Hungary's recovery and resistance plan")</f>
        <v>Hungary's recovery and resistance plan</v>
      </c>
      <c r="D99" s="1" t="s">
        <v>1609</v>
      </c>
      <c r="E99" s="1" t="s">
        <v>1610</v>
      </c>
      <c r="F99" s="1" t="s">
        <v>234</v>
      </c>
      <c r="G99" s="1"/>
      <c r="H99" s="1">
        <v>2021.0</v>
      </c>
      <c r="I99" s="140" t="s">
        <v>1611</v>
      </c>
      <c r="J99" s="1" t="s">
        <v>1632</v>
      </c>
      <c r="K99" s="4" t="s">
        <v>1633</v>
      </c>
      <c r="L99" s="1" t="s">
        <v>1328</v>
      </c>
      <c r="N99" s="1" t="s">
        <v>23</v>
      </c>
    </row>
    <row r="100">
      <c r="A100" s="1">
        <v>4282.0</v>
      </c>
      <c r="B100" s="140" t="s">
        <v>1634</v>
      </c>
      <c r="C100" s="140" t="str">
        <f>IFERROR(__xludf.DUMMYFUNCTION("GOOGLETRANSLATE(B100)"),"Regulation on operators' emission allowance in the EU's transaction system with allowances.")</f>
        <v>Regulation on operators' emission allowance in the EU's transaction system with allowances.</v>
      </c>
      <c r="D100" s="1" t="s">
        <v>1635</v>
      </c>
      <c r="E100" s="1" t="s">
        <v>1636</v>
      </c>
      <c r="F100" s="1" t="s">
        <v>34</v>
      </c>
      <c r="G100" s="140"/>
      <c r="H100" s="140">
        <v>2013.0</v>
      </c>
      <c r="I100" s="140" t="s">
        <v>1637</v>
      </c>
      <c r="J100" s="1" t="s">
        <v>1638</v>
      </c>
      <c r="K100" s="4" t="s">
        <v>1639</v>
      </c>
      <c r="L100" s="1" t="s">
        <v>1328</v>
      </c>
      <c r="N100" s="1" t="s">
        <v>23</v>
      </c>
    </row>
    <row r="101">
      <c r="A101" s="1">
        <v>4282.0</v>
      </c>
      <c r="B101" s="140" t="s">
        <v>1640</v>
      </c>
      <c r="C101" s="140" t="str">
        <f>IFERROR(__xludf.DUMMYFUNCTION("GOOGLETRANSLATE(B101)"),"Regulation amending Regulation no. 70/2013 on operators' emission allowance in the EU's trading system with allowances.")</f>
        <v>Regulation amending Regulation no. 70/2013 on operators' emission allowance in the EU's trading system with allowances.</v>
      </c>
      <c r="D101" s="1" t="s">
        <v>1635</v>
      </c>
      <c r="E101" s="1" t="s">
        <v>1636</v>
      </c>
      <c r="F101" s="1" t="s">
        <v>34</v>
      </c>
      <c r="G101" s="140"/>
      <c r="H101" s="140">
        <v>2013.0</v>
      </c>
      <c r="I101" s="140" t="s">
        <v>1637</v>
      </c>
      <c r="J101" s="1" t="s">
        <v>1641</v>
      </c>
      <c r="K101" s="4" t="s">
        <v>1642</v>
      </c>
      <c r="L101" s="1" t="s">
        <v>1328</v>
      </c>
      <c r="N101" s="1" t="s">
        <v>23</v>
      </c>
    </row>
    <row r="102">
      <c r="A102" s="1">
        <v>9416.0</v>
      </c>
      <c r="B102" s="140" t="s">
        <v>1643</v>
      </c>
      <c r="C102" s="140" t="str">
        <f>IFERROR(__xludf.DUMMYFUNCTION("GOOGLETRANSLATE(B102)"),"Iceland’s Climate Action Plan for 2018-2030")</f>
        <v>Iceland’s Climate Action Plan for 2018-2030</v>
      </c>
      <c r="D102" s="1" t="s">
        <v>1635</v>
      </c>
      <c r="E102" s="1" t="s">
        <v>1636</v>
      </c>
      <c r="F102" s="1" t="s">
        <v>234</v>
      </c>
      <c r="G102" s="140"/>
      <c r="H102" s="140">
        <v>2018.0</v>
      </c>
      <c r="I102" s="140" t="s">
        <v>24</v>
      </c>
      <c r="J102" s="4" t="s">
        <v>1644</v>
      </c>
      <c r="K102" s="4" t="s">
        <v>1645</v>
      </c>
      <c r="L102" s="1" t="s">
        <v>1328</v>
      </c>
      <c r="N102" s="1" t="s">
        <v>23</v>
      </c>
    </row>
    <row r="103">
      <c r="A103" s="1">
        <v>9416.0</v>
      </c>
      <c r="B103" s="140" t="s">
        <v>1646</v>
      </c>
      <c r="C103" s="140" t="str">
        <f>IFERROR(__xludf.DUMMYFUNCTION("GOOGLETRANSLATE(B103)"),"Iceland’s 2020 Climate Action Plan")</f>
        <v>Iceland’s 2020 Climate Action Plan</v>
      </c>
      <c r="D103" s="1" t="s">
        <v>1635</v>
      </c>
      <c r="E103" s="1" t="s">
        <v>1636</v>
      </c>
      <c r="F103" s="1" t="s">
        <v>234</v>
      </c>
      <c r="G103" s="140"/>
      <c r="H103" s="140">
        <v>2020.0</v>
      </c>
      <c r="I103" s="140" t="s">
        <v>24</v>
      </c>
      <c r="J103" s="1" t="s">
        <v>1647</v>
      </c>
      <c r="K103" s="4" t="s">
        <v>1648</v>
      </c>
      <c r="L103" s="1" t="s">
        <v>1328</v>
      </c>
      <c r="N103" s="1" t="s">
        <v>23</v>
      </c>
    </row>
    <row r="104">
      <c r="A104" s="1">
        <v>1317.0</v>
      </c>
      <c r="B104" s="140" t="s">
        <v>1649</v>
      </c>
      <c r="C104" s="140" t="str">
        <f>IFERROR(__xludf.DUMMYFUNCTION("GOOGLETRANSLATE(B104)"),"Draft National Electricity Plan Volume I")</f>
        <v>Draft National Electricity Plan Volume I</v>
      </c>
      <c r="D104" s="1" t="s">
        <v>1650</v>
      </c>
      <c r="E104" s="1" t="s">
        <v>1651</v>
      </c>
      <c r="F104" s="1" t="s">
        <v>234</v>
      </c>
      <c r="G104" s="140"/>
      <c r="H104" s="140">
        <v>2016.0</v>
      </c>
      <c r="I104" s="140" t="s">
        <v>24</v>
      </c>
      <c r="J104" s="1" t="s">
        <v>1652</v>
      </c>
      <c r="K104" s="4" t="s">
        <v>1653</v>
      </c>
      <c r="L104" s="1" t="s">
        <v>1328</v>
      </c>
      <c r="N104" s="1" t="s">
        <v>23</v>
      </c>
    </row>
    <row r="105">
      <c r="A105" s="1">
        <v>1317.0</v>
      </c>
      <c r="B105" s="140" t="s">
        <v>1654</v>
      </c>
      <c r="C105" s="140" t="str">
        <f>IFERROR(__xludf.DUMMYFUNCTION("GOOGLETRANSLATE(B105)"),"National Electricity Plan Volume I")</f>
        <v>National Electricity Plan Volume I</v>
      </c>
      <c r="D105" s="1" t="s">
        <v>1650</v>
      </c>
      <c r="E105" s="1" t="s">
        <v>1651</v>
      </c>
      <c r="F105" s="1" t="s">
        <v>234</v>
      </c>
      <c r="G105" s="140"/>
      <c r="H105" s="140">
        <v>2012.0</v>
      </c>
      <c r="I105" s="140" t="s">
        <v>24</v>
      </c>
      <c r="J105" s="1" t="s">
        <v>1655</v>
      </c>
      <c r="K105" s="4" t="s">
        <v>1656</v>
      </c>
      <c r="L105" s="1" t="s">
        <v>1328</v>
      </c>
      <c r="N105" s="1" t="s">
        <v>23</v>
      </c>
    </row>
    <row r="106">
      <c r="A106" s="1">
        <v>1318.0</v>
      </c>
      <c r="B106" s="140" t="s">
        <v>1657</v>
      </c>
      <c r="C106" s="140" t="str">
        <f>IFERROR(__xludf.DUMMYFUNCTION("GOOGLETRANSLATE(B106)"),"Clean Energy Cess Rules, 2010.")</f>
        <v>Clean Energy Cess Rules, 2010.</v>
      </c>
      <c r="D106" s="1" t="s">
        <v>1650</v>
      </c>
      <c r="E106" s="1" t="s">
        <v>1651</v>
      </c>
      <c r="F106" s="1" t="s">
        <v>372</v>
      </c>
      <c r="G106" s="140"/>
      <c r="H106" s="140">
        <v>2010.0</v>
      </c>
      <c r="I106" s="140" t="s">
        <v>24</v>
      </c>
      <c r="J106" s="1" t="s">
        <v>1658</v>
      </c>
      <c r="K106" s="4" t="s">
        <v>1659</v>
      </c>
      <c r="L106" s="1" t="s">
        <v>1328</v>
      </c>
      <c r="N106" s="1" t="s">
        <v>23</v>
      </c>
    </row>
    <row r="107">
      <c r="A107" s="1">
        <v>1318.0</v>
      </c>
      <c r="B107" s="140" t="s">
        <v>1660</v>
      </c>
      <c r="C107" s="140" t="str">
        <f>IFERROR(__xludf.DUMMYFUNCTION("GOOGLETRANSLATE(B107)"),"THE FINANCE BILL, 2010")</f>
        <v>THE FINANCE BILL, 2010</v>
      </c>
      <c r="D107" s="1" t="s">
        <v>1650</v>
      </c>
      <c r="E107" s="1" t="s">
        <v>1651</v>
      </c>
      <c r="F107" s="1" t="s">
        <v>41</v>
      </c>
      <c r="G107" s="140"/>
      <c r="H107" s="140">
        <v>2010.0</v>
      </c>
      <c r="I107" s="140" t="s">
        <v>24</v>
      </c>
      <c r="J107" s="1" t="s">
        <v>1661</v>
      </c>
      <c r="K107" s="4" t="s">
        <v>1662</v>
      </c>
      <c r="L107" s="1" t="s">
        <v>1328</v>
      </c>
      <c r="N107" s="1" t="s">
        <v>23</v>
      </c>
    </row>
    <row r="108">
      <c r="A108" s="1">
        <v>1318.0</v>
      </c>
      <c r="B108" s="140" t="s">
        <v>1657</v>
      </c>
      <c r="C108" s="140" t="str">
        <f>IFERROR(__xludf.DUMMYFUNCTION("GOOGLETRANSLATE(B108)"),"Clean Energy Cess Rules, 2010.")</f>
        <v>Clean Energy Cess Rules, 2010.</v>
      </c>
      <c r="D108" s="1" t="s">
        <v>1650</v>
      </c>
      <c r="E108" s="1" t="s">
        <v>1651</v>
      </c>
      <c r="F108" s="1" t="s">
        <v>372</v>
      </c>
      <c r="G108" s="140"/>
      <c r="H108" s="140">
        <v>2010.0</v>
      </c>
      <c r="I108" s="140" t="s">
        <v>24</v>
      </c>
      <c r="J108" s="1" t="s">
        <v>1663</v>
      </c>
      <c r="K108" s="4" t="s">
        <v>1664</v>
      </c>
      <c r="L108" s="1" t="s">
        <v>1328</v>
      </c>
      <c r="N108" s="1" t="s">
        <v>23</v>
      </c>
    </row>
    <row r="109">
      <c r="A109" s="1">
        <v>1322.0</v>
      </c>
      <c r="B109" s="140" t="s">
        <v>1665</v>
      </c>
      <c r="C109" s="140" t="str">
        <f>IFERROR(__xludf.DUMMYFUNCTION("GOOGLETRANSLATE(B109)"),"Integrated Energy Policy")</f>
        <v>Integrated Energy Policy</v>
      </c>
      <c r="D109" s="1" t="s">
        <v>1650</v>
      </c>
      <c r="E109" s="1" t="s">
        <v>1651</v>
      </c>
      <c r="F109" s="1" t="s">
        <v>407</v>
      </c>
      <c r="G109" s="140"/>
      <c r="H109" s="140">
        <v>2006.0</v>
      </c>
      <c r="I109" s="140" t="s">
        <v>24</v>
      </c>
      <c r="J109" s="1" t="s">
        <v>1666</v>
      </c>
      <c r="K109" s="4" t="s">
        <v>1667</v>
      </c>
      <c r="L109" s="1" t="s">
        <v>1328</v>
      </c>
      <c r="N109" s="1" t="s">
        <v>37</v>
      </c>
    </row>
    <row r="110">
      <c r="A110" s="1">
        <v>1322.0</v>
      </c>
      <c r="B110" s="140" t="s">
        <v>1668</v>
      </c>
      <c r="C110" s="140" t="str">
        <f>IFERROR(__xludf.DUMMYFUNCTION("GOOGLETRANSLATE(B110)"),"Draft National Energy Policy")</f>
        <v>Draft National Energy Policy</v>
      </c>
      <c r="D110" s="1" t="s">
        <v>1650</v>
      </c>
      <c r="E110" s="1" t="s">
        <v>1651</v>
      </c>
      <c r="F110" s="1" t="s">
        <v>407</v>
      </c>
      <c r="G110" s="140"/>
      <c r="H110" s="140">
        <v>2017.0</v>
      </c>
      <c r="I110" s="140" t="s">
        <v>24</v>
      </c>
      <c r="J110" s="1" t="s">
        <v>1669</v>
      </c>
      <c r="K110" s="4" t="s">
        <v>1670</v>
      </c>
      <c r="L110" s="1" t="s">
        <v>1328</v>
      </c>
      <c r="N110" s="1" t="s">
        <v>23</v>
      </c>
    </row>
    <row r="111">
      <c r="A111" s="1">
        <v>1323.0</v>
      </c>
      <c r="B111" s="140" t="s">
        <v>1671</v>
      </c>
      <c r="C111" s="140" t="str">
        <f>IFERROR(__xludf.DUMMYFUNCTION("GOOGLETRANSLATE(B111)"),"TARIFF POLICY")</f>
        <v>TARIFF POLICY</v>
      </c>
      <c r="D111" s="1" t="s">
        <v>1650</v>
      </c>
      <c r="E111" s="1" t="s">
        <v>1651</v>
      </c>
      <c r="F111" s="1" t="s">
        <v>407</v>
      </c>
      <c r="G111" s="140"/>
      <c r="H111" s="140">
        <v>2006.0</v>
      </c>
      <c r="I111" s="140" t="s">
        <v>24</v>
      </c>
      <c r="J111" s="1" t="s">
        <v>1672</v>
      </c>
      <c r="K111" s="4" t="s">
        <v>1673</v>
      </c>
      <c r="L111" s="1" t="s">
        <v>1328</v>
      </c>
      <c r="N111" s="1" t="s">
        <v>23</v>
      </c>
    </row>
    <row r="112">
      <c r="A112" s="1">
        <v>1323.0</v>
      </c>
      <c r="B112" s="1" t="s">
        <v>1674</v>
      </c>
      <c r="C112" s="1" t="str">
        <f>IFERROR(__xludf.DUMMYFUNCTION("GOOGLETRANSLATE(B112)"),"Tariff Policy under the Electricity Act 2003")</f>
        <v>Tariff Policy under the Electricity Act 2003</v>
      </c>
      <c r="D112" s="1" t="s">
        <v>1650</v>
      </c>
      <c r="E112" s="1" t="s">
        <v>1651</v>
      </c>
      <c r="F112" s="1" t="s">
        <v>407</v>
      </c>
      <c r="G112" s="1"/>
      <c r="H112" s="1">
        <v>2006.0</v>
      </c>
      <c r="I112" s="140" t="s">
        <v>24</v>
      </c>
      <c r="J112" s="1" t="s">
        <v>1675</v>
      </c>
      <c r="K112" s="4" t="s">
        <v>1676</v>
      </c>
      <c r="L112" s="1" t="s">
        <v>1328</v>
      </c>
      <c r="N112" s="1" t="s">
        <v>23</v>
      </c>
    </row>
    <row r="113">
      <c r="A113" s="1">
        <v>1323.0</v>
      </c>
      <c r="B113" s="1" t="s">
        <v>1677</v>
      </c>
      <c r="C113" s="1" t="str">
        <f>IFERROR(__xludf.DUMMYFUNCTION("GOOGLETRANSLATE(B113)"),"Tariff Policy")</f>
        <v>Tariff Policy</v>
      </c>
      <c r="D113" s="1" t="s">
        <v>1650</v>
      </c>
      <c r="E113" s="1" t="s">
        <v>1651</v>
      </c>
      <c r="F113" s="1" t="s">
        <v>407</v>
      </c>
      <c r="G113" s="1"/>
      <c r="H113" s="1">
        <v>2016.0</v>
      </c>
      <c r="I113" s="1" t="s">
        <v>1678</v>
      </c>
      <c r="J113" s="1" t="s">
        <v>1679</v>
      </c>
      <c r="K113" s="4" t="s">
        <v>1680</v>
      </c>
      <c r="L113" s="1" t="s">
        <v>1328</v>
      </c>
      <c r="N113" s="1" t="s">
        <v>23</v>
      </c>
    </row>
    <row r="114">
      <c r="A114" s="1">
        <v>1325.0</v>
      </c>
      <c r="B114" s="140" t="s">
        <v>1681</v>
      </c>
      <c r="C114" s="140" t="str">
        <f>IFERROR(__xludf.DUMMYFUNCTION("GOOGLETRANSLATE(B114)"),"THE ELECTRICITY ACT, 2003")</f>
        <v>THE ELECTRICITY ACT, 2003</v>
      </c>
      <c r="D114" s="1" t="s">
        <v>1650</v>
      </c>
      <c r="E114" s="1" t="s">
        <v>1651</v>
      </c>
      <c r="F114" s="1" t="s">
        <v>45</v>
      </c>
      <c r="G114" s="140"/>
      <c r="H114" s="140">
        <v>2003.0</v>
      </c>
      <c r="I114" s="140" t="s">
        <v>24</v>
      </c>
      <c r="J114" s="1" t="s">
        <v>1682</v>
      </c>
      <c r="K114" s="4" t="s">
        <v>1683</v>
      </c>
      <c r="L114" s="1" t="s">
        <v>1328</v>
      </c>
      <c r="N114" s="1" t="s">
        <v>23</v>
      </c>
    </row>
    <row r="115">
      <c r="A115" s="1">
        <v>1325.0</v>
      </c>
      <c r="B115" s="140" t="s">
        <v>1684</v>
      </c>
      <c r="C115" s="140" t="str">
        <f>IFERROR(__xludf.DUMMYFUNCTION("GOOGLETRANSLATE(B115)"),"THE ELECTRICITY (AMENDMENT) ACT, 2007")</f>
        <v>THE ELECTRICITY (AMENDMENT) ACT, 2007</v>
      </c>
      <c r="D115" s="1" t="s">
        <v>1650</v>
      </c>
      <c r="E115" s="1" t="s">
        <v>1651</v>
      </c>
      <c r="F115" s="1" t="s">
        <v>45</v>
      </c>
      <c r="G115" s="140"/>
      <c r="H115" s="140">
        <v>2007.0</v>
      </c>
      <c r="I115" s="140" t="s">
        <v>24</v>
      </c>
      <c r="J115" s="1" t="s">
        <v>1685</v>
      </c>
      <c r="K115" s="4" t="s">
        <v>1686</v>
      </c>
      <c r="L115" s="1" t="s">
        <v>1328</v>
      </c>
      <c r="N115" s="1" t="s">
        <v>37</v>
      </c>
    </row>
    <row r="116">
      <c r="A116" s="1">
        <v>1325.0</v>
      </c>
      <c r="B116" s="140" t="s">
        <v>1687</v>
      </c>
      <c r="C116" s="140" t="str">
        <f>IFERROR(__xludf.DUMMYFUNCTION("GOOGLETRANSLATE(B116)"),"THE GAZETTE OF INDIA : NOTIFICATION")</f>
        <v>THE GAZETTE OF INDIA : NOTIFICATION</v>
      </c>
      <c r="D116" s="1" t="s">
        <v>1650</v>
      </c>
      <c r="E116" s="1" t="s">
        <v>1651</v>
      </c>
      <c r="F116" s="145" t="s">
        <v>41</v>
      </c>
      <c r="G116" s="140" t="s">
        <v>41</v>
      </c>
      <c r="H116" s="140">
        <v>2010.0</v>
      </c>
      <c r="I116" s="140" t="s">
        <v>24</v>
      </c>
      <c r="J116" s="1" t="s">
        <v>1688</v>
      </c>
      <c r="K116" s="4" t="s">
        <v>1689</v>
      </c>
      <c r="L116" s="1" t="s">
        <v>1328</v>
      </c>
      <c r="N116" s="1" t="s">
        <v>37</v>
      </c>
    </row>
    <row r="117">
      <c r="A117" s="1">
        <v>1327.0</v>
      </c>
      <c r="B117" s="140" t="s">
        <v>1690</v>
      </c>
      <c r="C117" s="140" t="str">
        <f>IFERROR(__xludf.DUMMYFUNCTION("GOOGLETRANSLATE(B117)"),"THE ENERGY CONSERVATION (AMENDMENT) ACT, 2010")</f>
        <v>THE ENERGY CONSERVATION (AMENDMENT) ACT, 2010</v>
      </c>
      <c r="D117" s="1" t="s">
        <v>1650</v>
      </c>
      <c r="E117" s="1" t="s">
        <v>1651</v>
      </c>
      <c r="F117" s="145" t="s">
        <v>45</v>
      </c>
      <c r="G117" s="140"/>
      <c r="H117" s="140">
        <v>2010.0</v>
      </c>
      <c r="I117" s="140" t="s">
        <v>24</v>
      </c>
      <c r="J117" s="1" t="s">
        <v>1691</v>
      </c>
      <c r="K117" s="4" t="s">
        <v>1692</v>
      </c>
      <c r="L117" s="1" t="s">
        <v>1328</v>
      </c>
      <c r="N117" s="1" t="s">
        <v>37</v>
      </c>
    </row>
    <row r="118">
      <c r="A118" s="1">
        <v>1327.0</v>
      </c>
      <c r="B118" s="140" t="s">
        <v>1693</v>
      </c>
      <c r="C118" s="140" t="str">
        <f>IFERROR(__xludf.DUMMYFUNCTION("GOOGLETRANSLATE(B118)"),"THE ENERGY CONSERVATION (AMENDMENT) BILL, 2010")</f>
        <v>THE ENERGY CONSERVATION (AMENDMENT) BILL, 2010</v>
      </c>
      <c r="D118" s="1" t="s">
        <v>1650</v>
      </c>
      <c r="E118" s="1" t="s">
        <v>1651</v>
      </c>
      <c r="F118" s="145" t="s">
        <v>41</v>
      </c>
      <c r="G118" s="140" t="s">
        <v>41</v>
      </c>
      <c r="H118" s="140">
        <v>2010.0</v>
      </c>
      <c r="I118" s="140" t="s">
        <v>24</v>
      </c>
      <c r="J118" s="1" t="s">
        <v>1694</v>
      </c>
      <c r="K118" s="4" t="s">
        <v>1695</v>
      </c>
      <c r="L118" s="1" t="s">
        <v>1328</v>
      </c>
      <c r="N118" s="1" t="s">
        <v>23</v>
      </c>
    </row>
    <row r="119">
      <c r="A119" s="146">
        <v>9217.0</v>
      </c>
      <c r="B119" s="147"/>
      <c r="C119" s="146" t="str">
        <f>IFERROR(__xludf.DUMMYFUNCTION("GOOGLETRANSLATE(B119)"),"#VALUE!")</f>
        <v>#VALUE!</v>
      </c>
      <c r="D119" s="146" t="s">
        <v>1650</v>
      </c>
      <c r="E119" s="146" t="s">
        <v>1651</v>
      </c>
      <c r="F119" s="147"/>
      <c r="G119" s="147"/>
      <c r="H119" s="147"/>
      <c r="I119" s="147"/>
      <c r="J119" s="146" t="s">
        <v>1696</v>
      </c>
      <c r="K119" s="152" t="s">
        <v>1697</v>
      </c>
      <c r="L119" s="146" t="s">
        <v>1328</v>
      </c>
      <c r="M119" s="147"/>
      <c r="N119" s="146" t="s">
        <v>275</v>
      </c>
      <c r="O119" s="147"/>
      <c r="P119" s="147"/>
      <c r="Q119" s="147"/>
      <c r="R119" s="147"/>
      <c r="S119" s="147"/>
      <c r="T119" s="147"/>
      <c r="U119" s="147"/>
      <c r="V119" s="147"/>
      <c r="W119" s="147"/>
      <c r="X119" s="147"/>
      <c r="Y119" s="147"/>
      <c r="Z119" s="147"/>
      <c r="AA119" s="147"/>
      <c r="AB119" s="147"/>
    </row>
    <row r="120">
      <c r="A120" s="1">
        <v>9217.0</v>
      </c>
      <c r="B120" s="140" t="s">
        <v>1698</v>
      </c>
      <c r="C120" s="140" t="str">
        <f>IFERROR(__xludf.DUMMYFUNCTION("GOOGLETRANSLATE(B120)"),"Key Highlights of Union Budget 2019-20")</f>
        <v>Key Highlights of Union Budget 2019-20</v>
      </c>
      <c r="D120" s="1" t="s">
        <v>1650</v>
      </c>
      <c r="E120" s="1" t="s">
        <v>1651</v>
      </c>
      <c r="F120" s="145" t="s">
        <v>41</v>
      </c>
      <c r="G120" s="140" t="s">
        <v>45</v>
      </c>
      <c r="H120" s="140">
        <v>2019.0</v>
      </c>
      <c r="I120" s="140" t="s">
        <v>24</v>
      </c>
      <c r="J120" s="1" t="s">
        <v>1699</v>
      </c>
      <c r="K120" s="4" t="s">
        <v>1700</v>
      </c>
      <c r="L120" s="1" t="s">
        <v>1328</v>
      </c>
      <c r="N120" s="1" t="s">
        <v>23</v>
      </c>
    </row>
    <row r="121">
      <c r="A121" s="146">
        <v>9489.0</v>
      </c>
      <c r="B121" s="147"/>
      <c r="C121" s="146" t="str">
        <f>IFERROR(__xludf.DUMMYFUNCTION("GOOGLETRANSLATE(B121)"),"#VALUE!")</f>
        <v>#VALUE!</v>
      </c>
      <c r="D121" s="146" t="s">
        <v>1650</v>
      </c>
      <c r="E121" s="146" t="s">
        <v>1651</v>
      </c>
      <c r="F121" s="147"/>
      <c r="G121" s="147"/>
      <c r="H121" s="147"/>
      <c r="I121" s="147"/>
      <c r="J121" s="146" t="s">
        <v>1701</v>
      </c>
      <c r="K121" s="152" t="s">
        <v>1702</v>
      </c>
      <c r="L121" s="146" t="s">
        <v>1328</v>
      </c>
      <c r="M121" s="147"/>
      <c r="N121" s="146" t="s">
        <v>275</v>
      </c>
      <c r="O121" s="147"/>
      <c r="P121" s="147"/>
      <c r="Q121" s="147"/>
      <c r="R121" s="147"/>
      <c r="S121" s="147"/>
      <c r="T121" s="147"/>
      <c r="U121" s="147"/>
      <c r="V121" s="147"/>
      <c r="W121" s="147"/>
      <c r="X121" s="147"/>
      <c r="Y121" s="147"/>
      <c r="Z121" s="147"/>
      <c r="AA121" s="147"/>
      <c r="AB121" s="147"/>
    </row>
    <row r="122">
      <c r="A122" s="1">
        <v>9489.0</v>
      </c>
      <c r="B122" s="140" t="s">
        <v>1703</v>
      </c>
      <c r="C122" s="140" t="str">
        <f>IFERROR(__xludf.DUMMYFUNCTION("GOOGLETRANSLATE(B122)"),"THE COMPENSATORY AFFORESTATION FUND ACT, 2016")</f>
        <v>THE COMPENSATORY AFFORESTATION FUND ACT, 2016</v>
      </c>
      <c r="D122" s="1" t="s">
        <v>1650</v>
      </c>
      <c r="E122" s="1" t="s">
        <v>1651</v>
      </c>
      <c r="F122" s="1" t="s">
        <v>45</v>
      </c>
      <c r="G122" s="140"/>
      <c r="H122" s="140">
        <v>2016.0</v>
      </c>
      <c r="I122" s="140" t="s">
        <v>24</v>
      </c>
      <c r="J122" s="1" t="s">
        <v>1704</v>
      </c>
      <c r="K122" s="4" t="s">
        <v>1705</v>
      </c>
      <c r="L122" s="1" t="s">
        <v>1328</v>
      </c>
      <c r="N122" s="1" t="s">
        <v>23</v>
      </c>
    </row>
    <row r="123">
      <c r="A123" s="1">
        <v>10146.0</v>
      </c>
      <c r="B123" s="140" t="s">
        <v>1706</v>
      </c>
      <c r="C123" s="140" t="str">
        <f>IFERROR(__xludf.DUMMYFUNCTION("GOOGLETRANSLATE(B123)"),"Components of PM-KUSUM Scheme")</f>
        <v>Components of PM-KUSUM Scheme</v>
      </c>
      <c r="D123" s="1" t="s">
        <v>1650</v>
      </c>
      <c r="E123" s="1" t="s">
        <v>1651</v>
      </c>
      <c r="F123" s="145" t="s">
        <v>850</v>
      </c>
      <c r="G123" s="145" t="s">
        <v>850</v>
      </c>
      <c r="H123" s="151"/>
      <c r="I123" s="140" t="s">
        <v>24</v>
      </c>
      <c r="J123" s="1" t="s">
        <v>1707</v>
      </c>
      <c r="K123" s="4" t="s">
        <v>1708</v>
      </c>
      <c r="L123" s="1" t="s">
        <v>1328</v>
      </c>
      <c r="N123" s="1" t="s">
        <v>92</v>
      </c>
    </row>
    <row r="124">
      <c r="A124" s="1">
        <v>10146.0</v>
      </c>
      <c r="B124" s="140" t="s">
        <v>1709</v>
      </c>
      <c r="C124" s="140" t="str">
        <f>IFERROR(__xludf.DUMMYFUNCTION("GOOGLETRANSLATE(B124)"),"Guidelines for implementation of Pradhan Mantri Kisan Uraja Suraksha Evem Utthan Mahabhiyan (PM KUSUM) Scheme")</f>
        <v>Guidelines for implementation of Pradhan Mantri Kisan Uraja Suraksha Evem Utthan Mahabhiyan (PM KUSUM) Scheme</v>
      </c>
      <c r="D124" s="1" t="s">
        <v>1650</v>
      </c>
      <c r="E124" s="1" t="s">
        <v>1651</v>
      </c>
      <c r="F124" s="145" t="s">
        <v>850</v>
      </c>
      <c r="G124" s="145" t="s">
        <v>850</v>
      </c>
      <c r="H124" s="151"/>
      <c r="I124" s="140" t="s">
        <v>24</v>
      </c>
      <c r="J124" s="4" t="s">
        <v>1710</v>
      </c>
      <c r="K124" s="4" t="s">
        <v>1711</v>
      </c>
      <c r="L124" s="1" t="s">
        <v>1328</v>
      </c>
      <c r="N124" s="1" t="s">
        <v>37</v>
      </c>
    </row>
    <row r="125">
      <c r="A125" s="1">
        <v>1328.0</v>
      </c>
      <c r="B125" s="140" t="s">
        <v>1712</v>
      </c>
      <c r="C125" s="140" t="str">
        <f>IFERROR(__xludf.DUMMYFUNCTION("GOOGLETRANSLATE(B125)"),"2015-2019 National Medium-Term Development Plan")</f>
        <v>2015-2019 National Medium-Term Development Plan</v>
      </c>
      <c r="D125" s="1" t="s">
        <v>16</v>
      </c>
      <c r="E125" s="1" t="s">
        <v>17</v>
      </c>
      <c r="F125" s="1" t="s">
        <v>234</v>
      </c>
      <c r="G125" s="140"/>
      <c r="H125" s="140">
        <v>2015.0</v>
      </c>
      <c r="I125" s="140" t="s">
        <v>19</v>
      </c>
      <c r="J125" s="1" t="s">
        <v>1713</v>
      </c>
      <c r="K125" s="4" t="s">
        <v>1714</v>
      </c>
      <c r="L125" s="1" t="s">
        <v>1328</v>
      </c>
      <c r="N125" s="1" t="s">
        <v>23</v>
      </c>
    </row>
    <row r="126">
      <c r="A126" s="1">
        <v>1328.0</v>
      </c>
      <c r="B126" s="140" t="s">
        <v>1715</v>
      </c>
      <c r="C126" s="140" t="str">
        <f>IFERROR(__xludf.DUMMYFUNCTION("GOOGLETRANSLATE(B126)"),"MEDIUM TERM DEVELOPMENT PLAN: RPJMN 2015-2019")</f>
        <v>MEDIUM TERM DEVELOPMENT PLAN: RPJMN 2015-2019</v>
      </c>
      <c r="D126" s="1" t="s">
        <v>16</v>
      </c>
      <c r="E126" s="1" t="s">
        <v>17</v>
      </c>
      <c r="F126" s="1" t="s">
        <v>234</v>
      </c>
      <c r="G126" s="140"/>
      <c r="H126" s="140">
        <v>2015.0</v>
      </c>
      <c r="I126" s="140" t="s">
        <v>24</v>
      </c>
      <c r="J126" s="1" t="s">
        <v>1716</v>
      </c>
      <c r="K126" s="4" t="s">
        <v>1717</v>
      </c>
      <c r="L126" s="1" t="s">
        <v>1328</v>
      </c>
      <c r="N126" s="1" t="s">
        <v>23</v>
      </c>
    </row>
    <row r="127">
      <c r="A127" s="1">
        <v>1328.0</v>
      </c>
      <c r="B127" s="140" t="s">
        <v>1718</v>
      </c>
      <c r="C127" s="140" t="str">
        <f>IFERROR(__xludf.DUMMYFUNCTION("GOOGLETRANSLATE(B127)"),"Regulation on 2020-2024 National Medium-Term Development Plan")</f>
        <v>Regulation on 2020-2024 National Medium-Term Development Plan</v>
      </c>
      <c r="D127" s="1" t="s">
        <v>16</v>
      </c>
      <c r="E127" s="1" t="s">
        <v>17</v>
      </c>
      <c r="F127" s="1" t="s">
        <v>34</v>
      </c>
      <c r="G127" s="140"/>
      <c r="H127" s="140">
        <v>2020.0</v>
      </c>
      <c r="I127" s="140" t="s">
        <v>24</v>
      </c>
      <c r="J127" s="1" t="s">
        <v>1719</v>
      </c>
      <c r="K127" s="4" t="s">
        <v>1720</v>
      </c>
      <c r="L127" s="1" t="s">
        <v>1328</v>
      </c>
      <c r="N127" s="1" t="s">
        <v>326</v>
      </c>
    </row>
    <row r="128">
      <c r="B128" s="141"/>
      <c r="C128" s="141"/>
      <c r="G128" s="141"/>
      <c r="H128" s="141"/>
      <c r="I128" s="141"/>
    </row>
    <row r="129">
      <c r="B129" s="141"/>
      <c r="C129" s="141"/>
      <c r="G129" s="141"/>
      <c r="H129" s="141"/>
      <c r="I129" s="141"/>
    </row>
    <row r="130">
      <c r="B130" s="141"/>
      <c r="C130" s="141"/>
      <c r="G130" s="141"/>
      <c r="H130" s="141"/>
      <c r="I130" s="141"/>
    </row>
    <row r="131">
      <c r="B131" s="141"/>
      <c r="C131" s="141"/>
      <c r="G131" s="141"/>
      <c r="H131" s="141"/>
      <c r="I131" s="141"/>
    </row>
    <row r="132">
      <c r="B132" s="141"/>
      <c r="C132" s="141"/>
      <c r="G132" s="141"/>
      <c r="H132" s="141"/>
      <c r="I132" s="141"/>
    </row>
    <row r="133">
      <c r="B133" s="141"/>
      <c r="C133" s="141"/>
      <c r="G133" s="141"/>
      <c r="H133" s="141"/>
      <c r="I133" s="141"/>
    </row>
    <row r="134">
      <c r="B134" s="141"/>
      <c r="C134" s="141"/>
      <c r="G134" s="141"/>
      <c r="H134" s="141"/>
      <c r="I134" s="141"/>
    </row>
    <row r="135">
      <c r="B135" s="141"/>
      <c r="C135" s="141"/>
      <c r="G135" s="141"/>
      <c r="H135" s="141"/>
      <c r="I135" s="141"/>
    </row>
    <row r="136">
      <c r="B136" s="141"/>
      <c r="C136" s="141"/>
      <c r="G136" s="141"/>
      <c r="H136" s="141"/>
      <c r="I136" s="141"/>
    </row>
    <row r="137">
      <c r="B137" s="141"/>
      <c r="C137" s="141"/>
      <c r="G137" s="141"/>
      <c r="H137" s="141"/>
      <c r="I137" s="141"/>
    </row>
    <row r="138">
      <c r="B138" s="141"/>
      <c r="C138" s="141"/>
      <c r="G138" s="141"/>
      <c r="H138" s="141"/>
      <c r="I138" s="141"/>
    </row>
    <row r="139">
      <c r="B139" s="141"/>
      <c r="C139" s="141"/>
      <c r="G139" s="141"/>
      <c r="H139" s="141"/>
      <c r="I139" s="141"/>
    </row>
    <row r="140">
      <c r="B140" s="141"/>
      <c r="C140" s="141"/>
      <c r="G140" s="141"/>
      <c r="H140" s="141"/>
      <c r="I140" s="141"/>
    </row>
    <row r="141">
      <c r="B141" s="141"/>
      <c r="C141" s="141"/>
      <c r="G141" s="141"/>
      <c r="H141" s="141"/>
      <c r="I141" s="141"/>
    </row>
    <row r="142">
      <c r="B142" s="141"/>
      <c r="C142" s="141"/>
      <c r="G142" s="141"/>
      <c r="H142" s="141"/>
      <c r="I142" s="141"/>
    </row>
    <row r="143">
      <c r="B143" s="141"/>
      <c r="C143" s="141"/>
      <c r="G143" s="141"/>
      <c r="H143" s="141"/>
      <c r="I143" s="141"/>
    </row>
    <row r="144">
      <c r="B144" s="141"/>
      <c r="C144" s="141"/>
      <c r="G144" s="141"/>
      <c r="H144" s="141"/>
      <c r="I144" s="141"/>
    </row>
    <row r="145">
      <c r="B145" s="141"/>
      <c r="C145" s="141"/>
      <c r="G145" s="141"/>
      <c r="H145" s="141"/>
      <c r="I145" s="141"/>
    </row>
    <row r="146">
      <c r="B146" s="141"/>
      <c r="C146" s="141"/>
      <c r="G146" s="141"/>
      <c r="H146" s="141"/>
      <c r="I146" s="141"/>
    </row>
    <row r="147">
      <c r="B147" s="141"/>
      <c r="C147" s="141"/>
      <c r="G147" s="141"/>
      <c r="H147" s="141"/>
      <c r="I147" s="141"/>
    </row>
    <row r="148">
      <c r="B148" s="141"/>
      <c r="C148" s="141"/>
      <c r="G148" s="141"/>
      <c r="H148" s="141"/>
      <c r="I148" s="141"/>
    </row>
    <row r="149">
      <c r="B149" s="141"/>
      <c r="C149" s="141"/>
      <c r="G149" s="141"/>
      <c r="H149" s="141"/>
      <c r="I149" s="141"/>
    </row>
    <row r="150">
      <c r="B150" s="141"/>
      <c r="C150" s="141"/>
      <c r="G150" s="141"/>
      <c r="H150" s="141"/>
      <c r="I150" s="141"/>
    </row>
    <row r="151">
      <c r="B151" s="141"/>
      <c r="C151" s="141"/>
      <c r="G151" s="141"/>
      <c r="H151" s="141"/>
      <c r="I151" s="141"/>
    </row>
    <row r="152">
      <c r="B152" s="141"/>
      <c r="C152" s="141"/>
      <c r="G152" s="141"/>
      <c r="H152" s="141"/>
      <c r="I152" s="141"/>
    </row>
    <row r="153">
      <c r="B153" s="141"/>
      <c r="C153" s="141"/>
      <c r="G153" s="141"/>
      <c r="H153" s="141"/>
      <c r="I153" s="141"/>
    </row>
    <row r="154">
      <c r="B154" s="141"/>
      <c r="C154" s="141"/>
      <c r="G154" s="141"/>
      <c r="H154" s="141"/>
      <c r="I154" s="141"/>
    </row>
    <row r="155">
      <c r="B155" s="141"/>
      <c r="C155" s="141"/>
      <c r="G155" s="141"/>
      <c r="H155" s="141"/>
      <c r="I155" s="141"/>
    </row>
    <row r="156">
      <c r="B156" s="141"/>
      <c r="C156" s="141"/>
      <c r="G156" s="141"/>
      <c r="H156" s="141"/>
      <c r="I156" s="141"/>
    </row>
    <row r="157">
      <c r="B157" s="141"/>
      <c r="C157" s="141"/>
      <c r="G157" s="141"/>
      <c r="H157" s="141"/>
      <c r="I157" s="141"/>
    </row>
    <row r="158">
      <c r="B158" s="141"/>
      <c r="C158" s="141"/>
      <c r="G158" s="141"/>
      <c r="H158" s="141"/>
      <c r="I158" s="141"/>
    </row>
    <row r="159">
      <c r="B159" s="141"/>
      <c r="C159" s="141"/>
      <c r="G159" s="141"/>
      <c r="H159" s="141"/>
      <c r="I159" s="141"/>
    </row>
    <row r="160">
      <c r="B160" s="141"/>
      <c r="C160" s="141"/>
      <c r="G160" s="141"/>
      <c r="H160" s="141"/>
      <c r="I160" s="141"/>
    </row>
    <row r="161">
      <c r="B161" s="141"/>
      <c r="C161" s="141"/>
      <c r="G161" s="141"/>
      <c r="H161" s="141"/>
      <c r="I161" s="141"/>
    </row>
    <row r="162">
      <c r="B162" s="141"/>
      <c r="C162" s="141"/>
      <c r="G162" s="141"/>
      <c r="H162" s="141"/>
      <c r="I162" s="141"/>
    </row>
    <row r="163">
      <c r="B163" s="141"/>
      <c r="C163" s="141"/>
      <c r="G163" s="141"/>
      <c r="H163" s="141"/>
      <c r="I163" s="141"/>
    </row>
    <row r="164">
      <c r="B164" s="141"/>
      <c r="C164" s="141"/>
      <c r="G164" s="141"/>
      <c r="H164" s="141"/>
      <c r="I164" s="141"/>
    </row>
    <row r="165">
      <c r="B165" s="141"/>
      <c r="C165" s="141"/>
      <c r="G165" s="141"/>
      <c r="H165" s="141"/>
      <c r="I165" s="141"/>
    </row>
    <row r="166">
      <c r="B166" s="141"/>
      <c r="C166" s="141"/>
      <c r="G166" s="141"/>
      <c r="H166" s="141"/>
      <c r="I166" s="141"/>
    </row>
    <row r="167">
      <c r="B167" s="141"/>
      <c r="C167" s="141"/>
      <c r="G167" s="141"/>
      <c r="H167" s="141"/>
      <c r="I167" s="141"/>
    </row>
    <row r="168">
      <c r="B168" s="141"/>
      <c r="C168" s="141"/>
      <c r="G168" s="141"/>
      <c r="H168" s="141"/>
      <c r="I168" s="141"/>
    </row>
    <row r="169">
      <c r="B169" s="141"/>
      <c r="C169" s="141"/>
      <c r="G169" s="141"/>
      <c r="H169" s="141"/>
      <c r="I169" s="141"/>
    </row>
    <row r="170">
      <c r="B170" s="141"/>
      <c r="C170" s="141"/>
      <c r="G170" s="141"/>
      <c r="H170" s="141"/>
      <c r="I170" s="141"/>
    </row>
    <row r="171">
      <c r="B171" s="141"/>
      <c r="C171" s="141"/>
      <c r="G171" s="141"/>
      <c r="H171" s="141"/>
      <c r="I171" s="141"/>
    </row>
    <row r="172">
      <c r="B172" s="141"/>
      <c r="C172" s="141"/>
      <c r="G172" s="141"/>
      <c r="H172" s="141"/>
      <c r="I172" s="141"/>
    </row>
    <row r="173">
      <c r="B173" s="141"/>
      <c r="C173" s="141"/>
      <c r="G173" s="141"/>
      <c r="H173" s="141"/>
      <c r="I173" s="141"/>
    </row>
    <row r="174">
      <c r="B174" s="141"/>
      <c r="C174" s="141"/>
      <c r="G174" s="141"/>
      <c r="H174" s="141"/>
      <c r="I174" s="141"/>
    </row>
    <row r="175">
      <c r="B175" s="141"/>
      <c r="C175" s="141"/>
      <c r="G175" s="141"/>
      <c r="H175" s="141"/>
      <c r="I175" s="141"/>
    </row>
    <row r="176">
      <c r="B176" s="141"/>
      <c r="C176" s="141"/>
      <c r="G176" s="141"/>
      <c r="H176" s="141"/>
      <c r="I176" s="141"/>
    </row>
    <row r="177">
      <c r="B177" s="141"/>
      <c r="C177" s="141"/>
      <c r="G177" s="141"/>
      <c r="H177" s="141"/>
      <c r="I177" s="141"/>
    </row>
    <row r="178">
      <c r="B178" s="141"/>
      <c r="C178" s="141"/>
      <c r="G178" s="141"/>
      <c r="H178" s="141"/>
      <c r="I178" s="141"/>
    </row>
    <row r="179">
      <c r="B179" s="141"/>
      <c r="C179" s="141"/>
      <c r="G179" s="141"/>
      <c r="H179" s="141"/>
      <c r="I179" s="141"/>
    </row>
    <row r="180">
      <c r="B180" s="141"/>
      <c r="C180" s="141"/>
      <c r="G180" s="141"/>
      <c r="H180" s="141"/>
      <c r="I180" s="141"/>
    </row>
    <row r="181">
      <c r="B181" s="141"/>
      <c r="C181" s="141"/>
      <c r="G181" s="141"/>
      <c r="H181" s="141"/>
      <c r="I181" s="141"/>
    </row>
    <row r="182">
      <c r="B182" s="141"/>
      <c r="C182" s="141"/>
      <c r="G182" s="141"/>
      <c r="H182" s="141"/>
      <c r="I182" s="141"/>
    </row>
    <row r="183">
      <c r="B183" s="141"/>
      <c r="C183" s="141"/>
      <c r="G183" s="141"/>
      <c r="H183" s="141"/>
      <c r="I183" s="141"/>
    </row>
    <row r="184">
      <c r="B184" s="141"/>
      <c r="C184" s="141"/>
      <c r="G184" s="141"/>
      <c r="H184" s="141"/>
      <c r="I184" s="141"/>
    </row>
    <row r="185">
      <c r="B185" s="141"/>
      <c r="C185" s="141"/>
      <c r="G185" s="141"/>
      <c r="H185" s="141"/>
      <c r="I185" s="141"/>
    </row>
    <row r="186">
      <c r="B186" s="141"/>
      <c r="C186" s="141"/>
      <c r="G186" s="141"/>
      <c r="H186" s="141"/>
      <c r="I186" s="141"/>
    </row>
    <row r="187">
      <c r="B187" s="141"/>
      <c r="C187" s="141"/>
      <c r="G187" s="141"/>
      <c r="H187" s="141"/>
      <c r="I187" s="141"/>
    </row>
    <row r="188">
      <c r="B188" s="141"/>
      <c r="C188" s="141"/>
      <c r="G188" s="141"/>
      <c r="H188" s="141"/>
      <c r="I188" s="141"/>
    </row>
    <row r="189">
      <c r="B189" s="141"/>
      <c r="C189" s="141"/>
      <c r="G189" s="141"/>
      <c r="H189" s="141"/>
      <c r="I189" s="141"/>
    </row>
    <row r="190">
      <c r="B190" s="141"/>
      <c r="C190" s="141"/>
      <c r="G190" s="141"/>
      <c r="H190" s="141"/>
      <c r="I190" s="141"/>
    </row>
    <row r="191">
      <c r="B191" s="141"/>
      <c r="C191" s="141"/>
      <c r="G191" s="141"/>
      <c r="H191" s="141"/>
      <c r="I191" s="141"/>
    </row>
    <row r="192">
      <c r="B192" s="141"/>
      <c r="C192" s="141"/>
      <c r="G192" s="141"/>
      <c r="H192" s="141"/>
      <c r="I192" s="141"/>
    </row>
    <row r="193">
      <c r="B193" s="141"/>
      <c r="C193" s="141"/>
      <c r="G193" s="141"/>
      <c r="H193" s="141"/>
      <c r="I193" s="141"/>
    </row>
    <row r="194">
      <c r="B194" s="141"/>
      <c r="C194" s="141"/>
      <c r="G194" s="141"/>
      <c r="H194" s="141"/>
      <c r="I194" s="141"/>
    </row>
    <row r="195">
      <c r="B195" s="141"/>
      <c r="C195" s="141"/>
      <c r="G195" s="141"/>
      <c r="H195" s="141"/>
      <c r="I195" s="141"/>
    </row>
    <row r="196">
      <c r="B196" s="141"/>
      <c r="C196" s="141"/>
      <c r="G196" s="141"/>
      <c r="H196" s="141"/>
      <c r="I196" s="141"/>
    </row>
    <row r="197">
      <c r="B197" s="141"/>
      <c r="C197" s="141"/>
      <c r="G197" s="141"/>
      <c r="H197" s="141"/>
      <c r="I197" s="141"/>
    </row>
    <row r="198">
      <c r="B198" s="141"/>
      <c r="C198" s="141"/>
      <c r="G198" s="141"/>
      <c r="H198" s="141"/>
      <c r="I198" s="141"/>
    </row>
    <row r="199">
      <c r="B199" s="141"/>
      <c r="C199" s="141"/>
      <c r="G199" s="141"/>
      <c r="H199" s="141"/>
      <c r="I199" s="141"/>
    </row>
    <row r="200">
      <c r="B200" s="141"/>
      <c r="C200" s="141"/>
      <c r="G200" s="141"/>
      <c r="H200" s="141"/>
      <c r="I200" s="141"/>
    </row>
    <row r="201">
      <c r="B201" s="141"/>
      <c r="C201" s="141"/>
      <c r="G201" s="141"/>
      <c r="H201" s="141"/>
      <c r="I201" s="141"/>
    </row>
    <row r="202">
      <c r="B202" s="141"/>
      <c r="C202" s="141"/>
      <c r="G202" s="141"/>
      <c r="H202" s="141"/>
      <c r="I202" s="141"/>
    </row>
    <row r="203">
      <c r="B203" s="141"/>
      <c r="C203" s="141"/>
      <c r="G203" s="141"/>
      <c r="H203" s="141"/>
      <c r="I203" s="141"/>
    </row>
    <row r="204">
      <c r="B204" s="141"/>
      <c r="C204" s="141"/>
      <c r="G204" s="141"/>
      <c r="H204" s="141"/>
      <c r="I204" s="141"/>
    </row>
    <row r="205">
      <c r="B205" s="141"/>
      <c r="C205" s="141"/>
      <c r="G205" s="141"/>
      <c r="H205" s="141"/>
      <c r="I205" s="141"/>
    </row>
    <row r="206">
      <c r="B206" s="141"/>
      <c r="C206" s="141"/>
      <c r="G206" s="141"/>
      <c r="H206" s="141"/>
      <c r="I206" s="141"/>
    </row>
    <row r="207">
      <c r="B207" s="141"/>
      <c r="C207" s="141"/>
      <c r="G207" s="141"/>
      <c r="H207" s="141"/>
      <c r="I207" s="141"/>
    </row>
    <row r="208">
      <c r="B208" s="141"/>
      <c r="C208" s="141"/>
      <c r="G208" s="141"/>
      <c r="H208" s="141"/>
      <c r="I208" s="141"/>
    </row>
    <row r="209">
      <c r="B209" s="141"/>
      <c r="C209" s="141"/>
      <c r="G209" s="141"/>
      <c r="H209" s="141"/>
      <c r="I209" s="141"/>
    </row>
    <row r="210">
      <c r="B210" s="141"/>
      <c r="C210" s="141"/>
      <c r="G210" s="141"/>
      <c r="H210" s="141"/>
      <c r="I210" s="141"/>
    </row>
    <row r="211">
      <c r="B211" s="141"/>
      <c r="C211" s="141"/>
      <c r="G211" s="141"/>
      <c r="H211" s="141"/>
      <c r="I211" s="141"/>
    </row>
    <row r="212">
      <c r="B212" s="141"/>
      <c r="C212" s="141"/>
      <c r="G212" s="141"/>
      <c r="H212" s="141"/>
      <c r="I212" s="141"/>
    </row>
    <row r="213">
      <c r="B213" s="141"/>
      <c r="C213" s="141"/>
      <c r="G213" s="141"/>
      <c r="H213" s="141"/>
      <c r="I213" s="141"/>
    </row>
    <row r="214">
      <c r="B214" s="141"/>
      <c r="C214" s="141"/>
      <c r="G214" s="141"/>
      <c r="H214" s="141"/>
      <c r="I214" s="141"/>
    </row>
    <row r="215">
      <c r="B215" s="141"/>
      <c r="C215" s="141"/>
      <c r="G215" s="141"/>
      <c r="H215" s="141"/>
      <c r="I215" s="141"/>
    </row>
    <row r="216">
      <c r="B216" s="141"/>
      <c r="C216" s="141"/>
      <c r="G216" s="141"/>
      <c r="H216" s="141"/>
      <c r="I216" s="141"/>
    </row>
    <row r="217">
      <c r="B217" s="141"/>
      <c r="C217" s="141"/>
      <c r="G217" s="141"/>
      <c r="H217" s="141"/>
      <c r="I217" s="141"/>
    </row>
    <row r="218">
      <c r="B218" s="141"/>
      <c r="C218" s="141"/>
      <c r="G218" s="141"/>
      <c r="H218" s="141"/>
      <c r="I218" s="141"/>
    </row>
    <row r="219">
      <c r="B219" s="141"/>
      <c r="C219" s="141"/>
      <c r="G219" s="141"/>
      <c r="H219" s="141"/>
      <c r="I219" s="141"/>
    </row>
    <row r="220">
      <c r="B220" s="141"/>
      <c r="C220" s="141"/>
      <c r="G220" s="141"/>
      <c r="H220" s="141"/>
      <c r="I220" s="141"/>
    </row>
    <row r="221">
      <c r="B221" s="141"/>
      <c r="C221" s="141"/>
      <c r="G221" s="141"/>
      <c r="H221" s="141"/>
      <c r="I221" s="141"/>
    </row>
    <row r="222">
      <c r="B222" s="141"/>
      <c r="C222" s="141"/>
      <c r="G222" s="141"/>
      <c r="H222" s="141"/>
      <c r="I222" s="141"/>
    </row>
    <row r="223">
      <c r="B223" s="141"/>
      <c r="C223" s="141"/>
      <c r="G223" s="141"/>
      <c r="H223" s="141"/>
      <c r="I223" s="141"/>
    </row>
    <row r="224">
      <c r="B224" s="141"/>
      <c r="C224" s="141"/>
      <c r="G224" s="141"/>
      <c r="H224" s="141"/>
      <c r="I224" s="141"/>
    </row>
    <row r="225">
      <c r="B225" s="141"/>
      <c r="C225" s="141"/>
      <c r="G225" s="141"/>
      <c r="H225" s="141"/>
      <c r="I225" s="141"/>
    </row>
    <row r="226">
      <c r="B226" s="141"/>
      <c r="C226" s="141"/>
      <c r="G226" s="141"/>
      <c r="H226" s="141"/>
      <c r="I226" s="141"/>
    </row>
    <row r="227">
      <c r="B227" s="141"/>
      <c r="C227" s="141"/>
      <c r="G227" s="141"/>
      <c r="H227" s="141"/>
      <c r="I227" s="141"/>
    </row>
    <row r="228">
      <c r="B228" s="141"/>
      <c r="C228" s="141"/>
      <c r="G228" s="141"/>
      <c r="H228" s="141"/>
      <c r="I228" s="141"/>
    </row>
    <row r="229">
      <c r="B229" s="141"/>
      <c r="C229" s="141"/>
      <c r="G229" s="141"/>
      <c r="H229" s="141"/>
      <c r="I229" s="141"/>
    </row>
    <row r="230">
      <c r="B230" s="141"/>
      <c r="C230" s="141"/>
      <c r="G230" s="141"/>
      <c r="H230" s="141"/>
      <c r="I230" s="141"/>
    </row>
    <row r="231">
      <c r="B231" s="141"/>
      <c r="C231" s="141"/>
      <c r="G231" s="141"/>
      <c r="H231" s="141"/>
      <c r="I231" s="141"/>
    </row>
    <row r="232">
      <c r="B232" s="141"/>
      <c r="C232" s="141"/>
      <c r="G232" s="141"/>
      <c r="H232" s="141"/>
      <c r="I232" s="141"/>
    </row>
    <row r="233">
      <c r="B233" s="141"/>
      <c r="C233" s="141"/>
      <c r="G233" s="141"/>
      <c r="H233" s="141"/>
      <c r="I233" s="141"/>
    </row>
    <row r="234">
      <c r="B234" s="141"/>
      <c r="C234" s="141"/>
      <c r="G234" s="141"/>
      <c r="H234" s="141"/>
      <c r="I234" s="141"/>
    </row>
    <row r="235">
      <c r="B235" s="141"/>
      <c r="C235" s="141"/>
      <c r="G235" s="141"/>
      <c r="H235" s="141"/>
      <c r="I235" s="141"/>
    </row>
    <row r="236">
      <c r="B236" s="141"/>
      <c r="C236" s="141"/>
      <c r="G236" s="141"/>
      <c r="H236" s="141"/>
      <c r="I236" s="141"/>
    </row>
    <row r="237">
      <c r="B237" s="141"/>
      <c r="C237" s="141"/>
      <c r="G237" s="141"/>
      <c r="H237" s="141"/>
      <c r="I237" s="141"/>
    </row>
    <row r="238">
      <c r="B238" s="141"/>
      <c r="C238" s="141"/>
      <c r="G238" s="141"/>
      <c r="H238" s="141"/>
      <c r="I238" s="141"/>
    </row>
    <row r="239">
      <c r="B239" s="141"/>
      <c r="C239" s="141"/>
      <c r="G239" s="141"/>
      <c r="H239" s="141"/>
      <c r="I239" s="141"/>
    </row>
    <row r="240">
      <c r="B240" s="141"/>
      <c r="C240" s="141"/>
      <c r="G240" s="141"/>
      <c r="H240" s="141"/>
      <c r="I240" s="141"/>
    </row>
    <row r="241">
      <c r="B241" s="141"/>
      <c r="C241" s="141"/>
      <c r="G241" s="141"/>
      <c r="H241" s="141"/>
      <c r="I241" s="141"/>
    </row>
    <row r="242">
      <c r="B242" s="141"/>
      <c r="C242" s="141"/>
      <c r="G242" s="141"/>
      <c r="H242" s="141"/>
      <c r="I242" s="141"/>
    </row>
    <row r="243">
      <c r="B243" s="141"/>
      <c r="C243" s="141"/>
      <c r="G243" s="141"/>
      <c r="H243" s="141"/>
      <c r="I243" s="141"/>
    </row>
    <row r="244">
      <c r="B244" s="141"/>
      <c r="C244" s="141"/>
      <c r="G244" s="141"/>
      <c r="H244" s="141"/>
      <c r="I244" s="141"/>
    </row>
    <row r="245">
      <c r="B245" s="141"/>
      <c r="C245" s="141"/>
      <c r="G245" s="141"/>
      <c r="H245" s="141"/>
      <c r="I245" s="141"/>
    </row>
    <row r="246">
      <c r="B246" s="141"/>
      <c r="C246" s="141"/>
      <c r="G246" s="141"/>
      <c r="H246" s="141"/>
      <c r="I246" s="141"/>
    </row>
    <row r="247">
      <c r="B247" s="141"/>
      <c r="C247" s="141"/>
      <c r="G247" s="141"/>
      <c r="H247" s="141"/>
      <c r="I247" s="141"/>
    </row>
    <row r="248">
      <c r="B248" s="141"/>
      <c r="C248" s="141"/>
      <c r="G248" s="141"/>
      <c r="H248" s="141"/>
      <c r="I248" s="141"/>
    </row>
    <row r="249">
      <c r="B249" s="141"/>
      <c r="C249" s="141"/>
      <c r="G249" s="141"/>
      <c r="H249" s="141"/>
      <c r="I249" s="141"/>
    </row>
    <row r="250">
      <c r="B250" s="141"/>
      <c r="C250" s="141"/>
      <c r="G250" s="141"/>
      <c r="H250" s="141"/>
      <c r="I250" s="141"/>
    </row>
    <row r="251">
      <c r="B251" s="141"/>
      <c r="C251" s="141"/>
      <c r="G251" s="141"/>
      <c r="H251" s="141"/>
      <c r="I251" s="141"/>
    </row>
    <row r="252">
      <c r="B252" s="141"/>
      <c r="C252" s="141"/>
      <c r="G252" s="141"/>
      <c r="H252" s="141"/>
      <c r="I252" s="141"/>
    </row>
    <row r="253">
      <c r="B253" s="141"/>
      <c r="C253" s="141"/>
      <c r="G253" s="141"/>
      <c r="H253" s="141"/>
      <c r="I253" s="141"/>
    </row>
    <row r="254">
      <c r="B254" s="141"/>
      <c r="C254" s="141"/>
      <c r="G254" s="141"/>
      <c r="H254" s="141"/>
      <c r="I254" s="141"/>
    </row>
    <row r="255">
      <c r="B255" s="141"/>
      <c r="C255" s="141"/>
      <c r="G255" s="141"/>
      <c r="H255" s="141"/>
      <c r="I255" s="141"/>
    </row>
    <row r="256">
      <c r="B256" s="141"/>
      <c r="C256" s="141"/>
      <c r="G256" s="141"/>
      <c r="H256" s="141"/>
      <c r="I256" s="141"/>
    </row>
    <row r="257">
      <c r="B257" s="141"/>
      <c r="C257" s="141"/>
      <c r="G257" s="141"/>
      <c r="H257" s="141"/>
      <c r="I257" s="141"/>
    </row>
    <row r="258">
      <c r="B258" s="141"/>
      <c r="C258" s="141"/>
      <c r="G258" s="141"/>
      <c r="H258" s="141"/>
      <c r="I258" s="141"/>
    </row>
    <row r="259">
      <c r="B259" s="141"/>
      <c r="C259" s="141"/>
      <c r="G259" s="141"/>
      <c r="H259" s="141"/>
      <c r="I259" s="141"/>
    </row>
    <row r="260">
      <c r="B260" s="141"/>
      <c r="C260" s="141"/>
      <c r="G260" s="141"/>
      <c r="H260" s="141"/>
      <c r="I260" s="141"/>
    </row>
    <row r="261">
      <c r="B261" s="141"/>
      <c r="C261" s="141"/>
      <c r="G261" s="141"/>
      <c r="H261" s="141"/>
      <c r="I261" s="141"/>
    </row>
    <row r="262">
      <c r="B262" s="141"/>
      <c r="C262" s="141"/>
      <c r="G262" s="141"/>
      <c r="H262" s="141"/>
      <c r="I262" s="141"/>
    </row>
    <row r="263">
      <c r="B263" s="141"/>
      <c r="C263" s="141"/>
      <c r="G263" s="141"/>
      <c r="H263" s="141"/>
      <c r="I263" s="141"/>
    </row>
    <row r="264">
      <c r="B264" s="141"/>
      <c r="C264" s="141"/>
      <c r="G264" s="141"/>
      <c r="H264" s="141"/>
      <c r="I264" s="141"/>
    </row>
    <row r="265">
      <c r="B265" s="141"/>
      <c r="C265" s="141"/>
      <c r="G265" s="141"/>
      <c r="H265" s="141"/>
      <c r="I265" s="141"/>
    </row>
    <row r="266">
      <c r="B266" s="141"/>
      <c r="C266" s="141"/>
      <c r="G266" s="141"/>
      <c r="H266" s="141"/>
      <c r="I266" s="141"/>
    </row>
    <row r="267">
      <c r="B267" s="141"/>
      <c r="C267" s="141"/>
      <c r="G267" s="141"/>
      <c r="H267" s="141"/>
      <c r="I267" s="141"/>
    </row>
    <row r="268">
      <c r="B268" s="141"/>
      <c r="C268" s="141"/>
      <c r="G268" s="141"/>
      <c r="H268" s="141"/>
      <c r="I268" s="141"/>
    </row>
    <row r="269">
      <c r="B269" s="141"/>
      <c r="C269" s="141"/>
      <c r="G269" s="141"/>
      <c r="H269" s="141"/>
      <c r="I269" s="141"/>
    </row>
    <row r="270">
      <c r="B270" s="141"/>
      <c r="C270" s="141"/>
      <c r="G270" s="141"/>
      <c r="H270" s="141"/>
      <c r="I270" s="141"/>
    </row>
    <row r="271">
      <c r="B271" s="141"/>
      <c r="C271" s="141"/>
      <c r="G271" s="141"/>
      <c r="H271" s="141"/>
      <c r="I271" s="141"/>
    </row>
    <row r="272">
      <c r="B272" s="141"/>
      <c r="C272" s="141"/>
      <c r="G272" s="141"/>
      <c r="H272" s="141"/>
      <c r="I272" s="141"/>
    </row>
    <row r="273">
      <c r="B273" s="141"/>
      <c r="C273" s="141"/>
      <c r="G273" s="141"/>
      <c r="H273" s="141"/>
      <c r="I273" s="141"/>
    </row>
    <row r="274">
      <c r="B274" s="141"/>
      <c r="C274" s="141"/>
      <c r="G274" s="141"/>
      <c r="H274" s="141"/>
      <c r="I274" s="141"/>
    </row>
    <row r="275">
      <c r="B275" s="141"/>
      <c r="C275" s="141"/>
      <c r="G275" s="141"/>
      <c r="H275" s="141"/>
      <c r="I275" s="141"/>
    </row>
    <row r="276">
      <c r="B276" s="141"/>
      <c r="C276" s="141"/>
      <c r="G276" s="141"/>
      <c r="H276" s="141"/>
      <c r="I276" s="141"/>
    </row>
    <row r="277">
      <c r="B277" s="141"/>
      <c r="C277" s="141"/>
      <c r="G277" s="141"/>
      <c r="H277" s="141"/>
      <c r="I277" s="141"/>
    </row>
    <row r="278">
      <c r="B278" s="141"/>
      <c r="C278" s="141"/>
      <c r="G278" s="141"/>
      <c r="H278" s="141"/>
      <c r="I278" s="141"/>
    </row>
    <row r="279">
      <c r="B279" s="141"/>
      <c r="C279" s="141"/>
      <c r="G279" s="141"/>
      <c r="H279" s="141"/>
      <c r="I279" s="141"/>
    </row>
    <row r="280">
      <c r="B280" s="141"/>
      <c r="C280" s="141"/>
      <c r="G280" s="141"/>
      <c r="H280" s="141"/>
      <c r="I280" s="141"/>
    </row>
    <row r="281">
      <c r="B281" s="141"/>
      <c r="C281" s="141"/>
      <c r="G281" s="141"/>
      <c r="H281" s="141"/>
      <c r="I281" s="141"/>
    </row>
    <row r="282">
      <c r="B282" s="141"/>
      <c r="C282" s="141"/>
      <c r="G282" s="141"/>
      <c r="H282" s="141"/>
      <c r="I282" s="141"/>
    </row>
    <row r="283">
      <c r="B283" s="141"/>
      <c r="C283" s="141"/>
      <c r="G283" s="141"/>
      <c r="H283" s="141"/>
      <c r="I283" s="141"/>
    </row>
    <row r="284">
      <c r="B284" s="141"/>
      <c r="C284" s="141"/>
      <c r="G284" s="141"/>
      <c r="H284" s="141"/>
      <c r="I284" s="141"/>
    </row>
    <row r="285">
      <c r="B285" s="141"/>
      <c r="C285" s="141"/>
      <c r="G285" s="141"/>
      <c r="H285" s="141"/>
      <c r="I285" s="141"/>
    </row>
    <row r="286">
      <c r="B286" s="141"/>
      <c r="C286" s="141"/>
      <c r="G286" s="141"/>
      <c r="H286" s="141"/>
      <c r="I286" s="141"/>
    </row>
    <row r="287">
      <c r="B287" s="141"/>
      <c r="C287" s="141"/>
      <c r="G287" s="141"/>
      <c r="H287" s="141"/>
      <c r="I287" s="141"/>
    </row>
    <row r="288">
      <c r="B288" s="141"/>
      <c r="C288" s="141"/>
      <c r="G288" s="141"/>
      <c r="H288" s="141"/>
      <c r="I288" s="141"/>
    </row>
    <row r="289">
      <c r="B289" s="141"/>
      <c r="C289" s="141"/>
      <c r="G289" s="141"/>
      <c r="H289" s="141"/>
      <c r="I289" s="141"/>
    </row>
    <row r="290">
      <c r="B290" s="141"/>
      <c r="C290" s="141"/>
      <c r="G290" s="141"/>
      <c r="H290" s="141"/>
      <c r="I290" s="141"/>
    </row>
    <row r="291">
      <c r="B291" s="141"/>
      <c r="C291" s="141"/>
      <c r="G291" s="141"/>
      <c r="H291" s="141"/>
      <c r="I291" s="141"/>
    </row>
    <row r="292">
      <c r="B292" s="141"/>
      <c r="C292" s="141"/>
      <c r="G292" s="141"/>
      <c r="H292" s="141"/>
      <c r="I292" s="141"/>
    </row>
    <row r="293">
      <c r="B293" s="141"/>
      <c r="C293" s="141"/>
      <c r="G293" s="141"/>
      <c r="H293" s="141"/>
      <c r="I293" s="141"/>
    </row>
    <row r="294">
      <c r="B294" s="141"/>
      <c r="C294" s="141"/>
      <c r="G294" s="141"/>
      <c r="H294" s="141"/>
      <c r="I294" s="141"/>
    </row>
    <row r="295">
      <c r="B295" s="141"/>
      <c r="C295" s="141"/>
      <c r="G295" s="141"/>
      <c r="H295" s="141"/>
      <c r="I295" s="141"/>
    </row>
    <row r="296">
      <c r="B296" s="141"/>
      <c r="C296" s="141"/>
      <c r="G296" s="141"/>
      <c r="H296" s="141"/>
      <c r="I296" s="141"/>
    </row>
    <row r="297">
      <c r="B297" s="141"/>
      <c r="C297" s="141"/>
      <c r="G297" s="141"/>
      <c r="H297" s="141"/>
      <c r="I297" s="141"/>
    </row>
    <row r="298">
      <c r="B298" s="141"/>
      <c r="C298" s="141"/>
      <c r="G298" s="141"/>
      <c r="H298" s="141"/>
      <c r="I298" s="141"/>
    </row>
    <row r="299">
      <c r="B299" s="141"/>
      <c r="C299" s="141"/>
      <c r="G299" s="141"/>
      <c r="H299" s="141"/>
      <c r="I299" s="141"/>
    </row>
    <row r="300">
      <c r="B300" s="141"/>
      <c r="C300" s="141"/>
      <c r="G300" s="141"/>
      <c r="H300" s="141"/>
      <c r="I300" s="141"/>
    </row>
    <row r="301">
      <c r="B301" s="141"/>
      <c r="C301" s="141"/>
      <c r="G301" s="141"/>
      <c r="H301" s="141"/>
      <c r="I301" s="141"/>
    </row>
    <row r="302">
      <c r="B302" s="141"/>
      <c r="C302" s="141"/>
      <c r="G302" s="141"/>
      <c r="H302" s="141"/>
      <c r="I302" s="141"/>
    </row>
    <row r="303">
      <c r="B303" s="141"/>
      <c r="C303" s="141"/>
      <c r="G303" s="141"/>
      <c r="H303" s="141"/>
      <c r="I303" s="141"/>
    </row>
    <row r="304">
      <c r="B304" s="141"/>
      <c r="C304" s="141"/>
      <c r="G304" s="141"/>
      <c r="H304" s="141"/>
      <c r="I304" s="141"/>
    </row>
    <row r="305">
      <c r="B305" s="141"/>
      <c r="C305" s="141"/>
      <c r="G305" s="141"/>
      <c r="H305" s="141"/>
      <c r="I305" s="141"/>
    </row>
    <row r="306">
      <c r="B306" s="141"/>
      <c r="C306" s="141"/>
      <c r="G306" s="141"/>
      <c r="H306" s="141"/>
      <c r="I306" s="141"/>
    </row>
    <row r="307">
      <c r="B307" s="141"/>
      <c r="C307" s="141"/>
      <c r="G307" s="141"/>
      <c r="H307" s="141"/>
      <c r="I307" s="141"/>
    </row>
    <row r="308">
      <c r="B308" s="141"/>
      <c r="C308" s="141"/>
      <c r="G308" s="141"/>
      <c r="H308" s="141"/>
      <c r="I308" s="141"/>
    </row>
    <row r="309">
      <c r="B309" s="141"/>
      <c r="C309" s="141"/>
      <c r="G309" s="141"/>
      <c r="H309" s="141"/>
      <c r="I309" s="141"/>
    </row>
    <row r="310">
      <c r="B310" s="141"/>
      <c r="C310" s="141"/>
      <c r="G310" s="141"/>
      <c r="H310" s="141"/>
      <c r="I310" s="141"/>
    </row>
    <row r="311">
      <c r="B311" s="141"/>
      <c r="C311" s="141"/>
      <c r="G311" s="141"/>
      <c r="H311" s="141"/>
      <c r="I311" s="141"/>
    </row>
    <row r="312">
      <c r="B312" s="141"/>
      <c r="C312" s="141"/>
      <c r="G312" s="141"/>
      <c r="H312" s="141"/>
      <c r="I312" s="141"/>
    </row>
    <row r="313">
      <c r="B313" s="141"/>
      <c r="C313" s="141"/>
      <c r="G313" s="141"/>
      <c r="H313" s="141"/>
      <c r="I313" s="141"/>
    </row>
    <row r="314">
      <c r="B314" s="141"/>
      <c r="C314" s="141"/>
      <c r="G314" s="141"/>
      <c r="H314" s="141"/>
      <c r="I314" s="141"/>
    </row>
    <row r="315">
      <c r="B315" s="141"/>
      <c r="C315" s="141"/>
      <c r="G315" s="141"/>
      <c r="H315" s="141"/>
      <c r="I315" s="141"/>
    </row>
    <row r="316">
      <c r="B316" s="141"/>
      <c r="C316" s="141"/>
      <c r="G316" s="141"/>
      <c r="H316" s="141"/>
      <c r="I316" s="141"/>
    </row>
    <row r="317">
      <c r="B317" s="141"/>
      <c r="C317" s="141"/>
      <c r="G317" s="141"/>
      <c r="H317" s="141"/>
      <c r="I317" s="141"/>
    </row>
    <row r="318">
      <c r="B318" s="141"/>
      <c r="C318" s="141"/>
      <c r="G318" s="141"/>
      <c r="H318" s="141"/>
      <c r="I318" s="141"/>
    </row>
    <row r="319">
      <c r="B319" s="141"/>
      <c r="C319" s="141"/>
      <c r="G319" s="141"/>
      <c r="H319" s="141"/>
      <c r="I319" s="141"/>
    </row>
    <row r="320">
      <c r="B320" s="141"/>
      <c r="C320" s="141"/>
      <c r="G320" s="141"/>
      <c r="H320" s="141"/>
      <c r="I320" s="141"/>
    </row>
    <row r="321">
      <c r="B321" s="141"/>
      <c r="C321" s="141"/>
      <c r="G321" s="141"/>
      <c r="H321" s="141"/>
      <c r="I321" s="141"/>
    </row>
    <row r="322">
      <c r="B322" s="141"/>
      <c r="C322" s="141"/>
      <c r="G322" s="141"/>
      <c r="H322" s="141"/>
      <c r="I322" s="141"/>
    </row>
    <row r="323">
      <c r="B323" s="141"/>
      <c r="C323" s="141"/>
      <c r="G323" s="141"/>
      <c r="H323" s="141"/>
      <c r="I323" s="141"/>
    </row>
    <row r="324">
      <c r="B324" s="141"/>
      <c r="C324" s="141"/>
      <c r="G324" s="141"/>
      <c r="H324" s="141"/>
      <c r="I324" s="141"/>
    </row>
    <row r="325">
      <c r="B325" s="141"/>
      <c r="C325" s="141"/>
      <c r="G325" s="141"/>
      <c r="H325" s="141"/>
      <c r="I325" s="141"/>
    </row>
    <row r="326">
      <c r="B326" s="141"/>
      <c r="C326" s="141"/>
      <c r="G326" s="141"/>
      <c r="H326" s="141"/>
      <c r="I326" s="141"/>
    </row>
    <row r="327">
      <c r="B327" s="141"/>
      <c r="C327" s="141"/>
      <c r="G327" s="141"/>
      <c r="H327" s="141"/>
      <c r="I327" s="141"/>
    </row>
    <row r="328">
      <c r="B328" s="141"/>
      <c r="C328" s="141"/>
      <c r="G328" s="141"/>
      <c r="H328" s="141"/>
      <c r="I328" s="141"/>
    </row>
    <row r="329">
      <c r="B329" s="141"/>
      <c r="C329" s="141"/>
      <c r="G329" s="141"/>
      <c r="H329" s="141"/>
      <c r="I329" s="141"/>
    </row>
    <row r="330">
      <c r="B330" s="141"/>
      <c r="C330" s="141"/>
      <c r="G330" s="141"/>
      <c r="H330" s="141"/>
      <c r="I330" s="141"/>
    </row>
    <row r="331">
      <c r="B331" s="141"/>
      <c r="C331" s="141"/>
      <c r="G331" s="141"/>
      <c r="H331" s="141"/>
      <c r="I331" s="141"/>
    </row>
    <row r="332">
      <c r="B332" s="141"/>
      <c r="C332" s="141"/>
      <c r="G332" s="141"/>
      <c r="H332" s="141"/>
      <c r="I332" s="141"/>
    </row>
    <row r="333">
      <c r="B333" s="141"/>
      <c r="C333" s="141"/>
      <c r="G333" s="141"/>
      <c r="H333" s="141"/>
      <c r="I333" s="141"/>
    </row>
    <row r="334">
      <c r="B334" s="141"/>
      <c r="C334" s="141"/>
      <c r="G334" s="141"/>
      <c r="H334" s="141"/>
      <c r="I334" s="141"/>
    </row>
    <row r="335">
      <c r="B335" s="141"/>
      <c r="C335" s="141"/>
      <c r="G335" s="141"/>
      <c r="H335" s="141"/>
      <c r="I335" s="141"/>
    </row>
    <row r="336">
      <c r="B336" s="141"/>
      <c r="C336" s="141"/>
      <c r="G336" s="141"/>
      <c r="H336" s="141"/>
      <c r="I336" s="141"/>
    </row>
    <row r="337">
      <c r="B337" s="141"/>
      <c r="C337" s="141"/>
      <c r="G337" s="141"/>
      <c r="H337" s="141"/>
      <c r="I337" s="141"/>
    </row>
    <row r="338">
      <c r="B338" s="141"/>
      <c r="C338" s="141"/>
      <c r="G338" s="141"/>
      <c r="H338" s="141"/>
      <c r="I338" s="141"/>
    </row>
    <row r="339">
      <c r="B339" s="141"/>
      <c r="C339" s="141"/>
      <c r="G339" s="141"/>
      <c r="H339" s="141"/>
      <c r="I339" s="141"/>
    </row>
    <row r="340">
      <c r="B340" s="141"/>
      <c r="C340" s="141"/>
      <c r="G340" s="141"/>
      <c r="H340" s="141"/>
      <c r="I340" s="141"/>
    </row>
    <row r="341">
      <c r="B341" s="141"/>
      <c r="C341" s="141"/>
      <c r="G341" s="141"/>
      <c r="H341" s="141"/>
      <c r="I341" s="141"/>
    </row>
    <row r="342">
      <c r="B342" s="141"/>
      <c r="C342" s="141"/>
      <c r="G342" s="141"/>
      <c r="H342" s="141"/>
      <c r="I342" s="141"/>
    </row>
    <row r="343">
      <c r="B343" s="141"/>
      <c r="C343" s="141"/>
      <c r="G343" s="141"/>
      <c r="H343" s="141"/>
      <c r="I343" s="141"/>
    </row>
    <row r="344">
      <c r="B344" s="141"/>
      <c r="C344" s="141"/>
      <c r="G344" s="141"/>
      <c r="H344" s="141"/>
      <c r="I344" s="141"/>
    </row>
    <row r="345">
      <c r="B345" s="141"/>
      <c r="C345" s="141"/>
      <c r="G345" s="141"/>
      <c r="H345" s="141"/>
      <c r="I345" s="141"/>
    </row>
    <row r="346">
      <c r="B346" s="141"/>
      <c r="C346" s="141"/>
      <c r="G346" s="141"/>
      <c r="H346" s="141"/>
      <c r="I346" s="141"/>
    </row>
    <row r="347">
      <c r="B347" s="141"/>
      <c r="C347" s="141"/>
      <c r="G347" s="141"/>
      <c r="H347" s="141"/>
      <c r="I347" s="141"/>
    </row>
    <row r="348">
      <c r="B348" s="141"/>
      <c r="C348" s="141"/>
      <c r="G348" s="141"/>
      <c r="H348" s="141"/>
      <c r="I348" s="141"/>
    </row>
    <row r="349">
      <c r="B349" s="141"/>
      <c r="C349" s="141"/>
      <c r="G349" s="141"/>
      <c r="H349" s="141"/>
      <c r="I349" s="141"/>
    </row>
    <row r="350">
      <c r="B350" s="141"/>
      <c r="C350" s="141"/>
      <c r="G350" s="141"/>
      <c r="H350" s="141"/>
      <c r="I350" s="141"/>
    </row>
    <row r="351">
      <c r="B351" s="141"/>
      <c r="C351" s="141"/>
      <c r="G351" s="141"/>
      <c r="H351" s="141"/>
      <c r="I351" s="141"/>
    </row>
    <row r="352">
      <c r="B352" s="141"/>
      <c r="C352" s="141"/>
      <c r="G352" s="141"/>
      <c r="H352" s="141"/>
      <c r="I352" s="141"/>
    </row>
    <row r="353">
      <c r="B353" s="141"/>
      <c r="C353" s="141"/>
      <c r="G353" s="141"/>
      <c r="H353" s="141"/>
      <c r="I353" s="141"/>
    </row>
    <row r="354">
      <c r="B354" s="141"/>
      <c r="C354" s="141"/>
      <c r="G354" s="141"/>
      <c r="H354" s="141"/>
      <c r="I354" s="141"/>
    </row>
    <row r="355">
      <c r="B355" s="141"/>
      <c r="C355" s="141"/>
      <c r="G355" s="141"/>
      <c r="H355" s="141"/>
      <c r="I355" s="141"/>
    </row>
    <row r="356">
      <c r="B356" s="141"/>
      <c r="C356" s="141"/>
      <c r="G356" s="141"/>
      <c r="H356" s="141"/>
      <c r="I356" s="141"/>
    </row>
    <row r="357">
      <c r="B357" s="141"/>
      <c r="C357" s="141"/>
      <c r="G357" s="141"/>
      <c r="H357" s="141"/>
      <c r="I357" s="141"/>
    </row>
    <row r="358">
      <c r="B358" s="141"/>
      <c r="C358" s="141"/>
      <c r="G358" s="141"/>
      <c r="H358" s="141"/>
      <c r="I358" s="141"/>
    </row>
    <row r="359">
      <c r="B359" s="141"/>
      <c r="C359" s="141"/>
      <c r="G359" s="141"/>
      <c r="H359" s="141"/>
      <c r="I359" s="141"/>
    </row>
    <row r="360">
      <c r="B360" s="141"/>
      <c r="C360" s="141"/>
      <c r="G360" s="141"/>
      <c r="H360" s="141"/>
      <c r="I360" s="141"/>
    </row>
    <row r="361">
      <c r="B361" s="141"/>
      <c r="C361" s="141"/>
      <c r="G361" s="141"/>
      <c r="H361" s="141"/>
      <c r="I361" s="141"/>
    </row>
    <row r="362">
      <c r="B362" s="141"/>
      <c r="C362" s="141"/>
      <c r="G362" s="141"/>
      <c r="H362" s="141"/>
      <c r="I362" s="141"/>
    </row>
    <row r="363">
      <c r="B363" s="141"/>
      <c r="C363" s="141"/>
      <c r="G363" s="141"/>
      <c r="H363" s="141"/>
      <c r="I363" s="141"/>
    </row>
    <row r="364">
      <c r="B364" s="141"/>
      <c r="C364" s="141"/>
      <c r="G364" s="141"/>
      <c r="H364" s="141"/>
      <c r="I364" s="141"/>
    </row>
    <row r="365">
      <c r="B365" s="141"/>
      <c r="C365" s="141"/>
      <c r="G365" s="141"/>
      <c r="H365" s="141"/>
      <c r="I365" s="141"/>
    </row>
    <row r="366">
      <c r="B366" s="141"/>
      <c r="C366" s="141"/>
      <c r="G366" s="141"/>
      <c r="H366" s="141"/>
      <c r="I366" s="141"/>
    </row>
    <row r="367">
      <c r="B367" s="141"/>
      <c r="C367" s="141"/>
      <c r="G367" s="141"/>
      <c r="H367" s="141"/>
      <c r="I367" s="141"/>
    </row>
    <row r="368">
      <c r="B368" s="141"/>
      <c r="C368" s="141"/>
      <c r="G368" s="141"/>
      <c r="H368" s="141"/>
      <c r="I368" s="141"/>
    </row>
    <row r="369">
      <c r="B369" s="141"/>
      <c r="C369" s="141"/>
      <c r="G369" s="141"/>
      <c r="H369" s="141"/>
      <c r="I369" s="141"/>
    </row>
    <row r="370">
      <c r="B370" s="141"/>
      <c r="C370" s="141"/>
      <c r="G370" s="141"/>
      <c r="H370" s="141"/>
      <c r="I370" s="141"/>
    </row>
    <row r="371">
      <c r="B371" s="141"/>
      <c r="C371" s="141"/>
      <c r="G371" s="141"/>
      <c r="H371" s="141"/>
      <c r="I371" s="141"/>
    </row>
    <row r="372">
      <c r="B372" s="141"/>
      <c r="C372" s="141"/>
      <c r="G372" s="141"/>
      <c r="H372" s="141"/>
      <c r="I372" s="141"/>
    </row>
    <row r="373">
      <c r="B373" s="141"/>
      <c r="C373" s="141"/>
      <c r="G373" s="141"/>
      <c r="H373" s="141"/>
      <c r="I373" s="141"/>
    </row>
    <row r="374">
      <c r="B374" s="141"/>
      <c r="C374" s="141"/>
      <c r="G374" s="141"/>
      <c r="H374" s="141"/>
      <c r="I374" s="141"/>
    </row>
    <row r="375">
      <c r="B375" s="141"/>
      <c r="C375" s="141"/>
      <c r="G375" s="141"/>
      <c r="H375" s="141"/>
      <c r="I375" s="141"/>
    </row>
    <row r="376">
      <c r="B376" s="141"/>
      <c r="C376" s="141"/>
      <c r="G376" s="141"/>
      <c r="H376" s="141"/>
      <c r="I376" s="141"/>
    </row>
    <row r="377">
      <c r="B377" s="141"/>
      <c r="C377" s="141"/>
      <c r="G377" s="141"/>
      <c r="H377" s="141"/>
      <c r="I377" s="141"/>
    </row>
    <row r="378">
      <c r="B378" s="141"/>
      <c r="C378" s="141"/>
      <c r="G378" s="141"/>
      <c r="H378" s="141"/>
      <c r="I378" s="141"/>
    </row>
    <row r="379">
      <c r="B379" s="141"/>
      <c r="C379" s="141"/>
      <c r="G379" s="141"/>
      <c r="H379" s="141"/>
      <c r="I379" s="141"/>
    </row>
    <row r="380">
      <c r="B380" s="141"/>
      <c r="C380" s="141"/>
      <c r="G380" s="141"/>
      <c r="H380" s="141"/>
      <c r="I380" s="141"/>
    </row>
    <row r="381">
      <c r="B381" s="141"/>
      <c r="C381" s="141"/>
      <c r="G381" s="141"/>
      <c r="H381" s="141"/>
      <c r="I381" s="141"/>
    </row>
    <row r="382">
      <c r="B382" s="141"/>
      <c r="C382" s="141"/>
      <c r="G382" s="141"/>
      <c r="H382" s="141"/>
      <c r="I382" s="141"/>
    </row>
    <row r="383">
      <c r="B383" s="141"/>
      <c r="C383" s="141"/>
      <c r="G383" s="141"/>
      <c r="H383" s="141"/>
      <c r="I383" s="141"/>
    </row>
    <row r="384">
      <c r="B384" s="141"/>
      <c r="C384" s="141"/>
      <c r="G384" s="141"/>
      <c r="H384" s="141"/>
      <c r="I384" s="141"/>
    </row>
    <row r="385">
      <c r="B385" s="141"/>
      <c r="C385" s="141"/>
      <c r="G385" s="141"/>
      <c r="H385" s="141"/>
      <c r="I385" s="141"/>
    </row>
    <row r="386">
      <c r="B386" s="141"/>
      <c r="C386" s="141"/>
      <c r="G386" s="141"/>
      <c r="H386" s="141"/>
      <c r="I386" s="141"/>
    </row>
    <row r="387">
      <c r="B387" s="141"/>
      <c r="C387" s="141"/>
      <c r="G387" s="141"/>
      <c r="H387" s="141"/>
      <c r="I387" s="141"/>
    </row>
    <row r="388">
      <c r="B388" s="141"/>
      <c r="C388" s="141"/>
      <c r="G388" s="141"/>
      <c r="H388" s="141"/>
      <c r="I388" s="141"/>
    </row>
    <row r="389">
      <c r="B389" s="141"/>
      <c r="C389" s="141"/>
      <c r="G389" s="141"/>
      <c r="H389" s="141"/>
      <c r="I389" s="141"/>
    </row>
    <row r="390">
      <c r="B390" s="141"/>
      <c r="C390" s="141"/>
      <c r="G390" s="141"/>
      <c r="H390" s="141"/>
      <c r="I390" s="141"/>
    </row>
    <row r="391">
      <c r="B391" s="141"/>
      <c r="C391" s="141"/>
      <c r="G391" s="141"/>
      <c r="H391" s="141"/>
      <c r="I391" s="141"/>
    </row>
    <row r="392">
      <c r="B392" s="141"/>
      <c r="C392" s="141"/>
      <c r="G392" s="141"/>
      <c r="H392" s="141"/>
      <c r="I392" s="141"/>
    </row>
    <row r="393">
      <c r="B393" s="141"/>
      <c r="C393" s="141"/>
      <c r="G393" s="141"/>
      <c r="H393" s="141"/>
      <c r="I393" s="141"/>
    </row>
    <row r="394">
      <c r="B394" s="141"/>
      <c r="C394" s="141"/>
      <c r="G394" s="141"/>
      <c r="H394" s="141"/>
      <c r="I394" s="141"/>
    </row>
    <row r="395">
      <c r="B395" s="141"/>
      <c r="C395" s="141"/>
      <c r="G395" s="141"/>
      <c r="H395" s="141"/>
      <c r="I395" s="141"/>
    </row>
    <row r="396">
      <c r="B396" s="141"/>
      <c r="C396" s="141"/>
      <c r="G396" s="141"/>
      <c r="H396" s="141"/>
      <c r="I396" s="141"/>
    </row>
    <row r="397">
      <c r="B397" s="141"/>
      <c r="C397" s="141"/>
      <c r="G397" s="141"/>
      <c r="H397" s="141"/>
      <c r="I397" s="141"/>
    </row>
    <row r="398">
      <c r="B398" s="141"/>
      <c r="C398" s="141"/>
      <c r="G398" s="141"/>
      <c r="H398" s="141"/>
      <c r="I398" s="141"/>
    </row>
    <row r="399">
      <c r="B399" s="141"/>
      <c r="C399" s="141"/>
      <c r="G399" s="141"/>
      <c r="H399" s="141"/>
      <c r="I399" s="141"/>
    </row>
    <row r="400">
      <c r="B400" s="141"/>
      <c r="C400" s="141"/>
      <c r="G400" s="141"/>
      <c r="H400" s="141"/>
      <c r="I400" s="141"/>
    </row>
    <row r="401">
      <c r="B401" s="141"/>
      <c r="C401" s="141"/>
      <c r="G401" s="141"/>
      <c r="H401" s="141"/>
      <c r="I401" s="141"/>
    </row>
    <row r="402">
      <c r="B402" s="141"/>
      <c r="C402" s="141"/>
      <c r="G402" s="141"/>
      <c r="H402" s="141"/>
      <c r="I402" s="141"/>
    </row>
    <row r="403">
      <c r="B403" s="141"/>
      <c r="C403" s="141"/>
      <c r="G403" s="141"/>
      <c r="H403" s="141"/>
      <c r="I403" s="141"/>
    </row>
    <row r="404">
      <c r="B404" s="141"/>
      <c r="C404" s="141"/>
      <c r="G404" s="141"/>
      <c r="H404" s="141"/>
      <c r="I404" s="141"/>
    </row>
    <row r="405">
      <c r="B405" s="141"/>
      <c r="C405" s="141"/>
      <c r="G405" s="141"/>
      <c r="H405" s="141"/>
      <c r="I405" s="141"/>
    </row>
    <row r="406">
      <c r="B406" s="141"/>
      <c r="C406" s="141"/>
      <c r="G406" s="141"/>
      <c r="H406" s="141"/>
      <c r="I406" s="141"/>
    </row>
    <row r="407">
      <c r="B407" s="141"/>
      <c r="C407" s="141"/>
      <c r="G407" s="141"/>
      <c r="H407" s="141"/>
      <c r="I407" s="141"/>
    </row>
    <row r="408">
      <c r="B408" s="141"/>
      <c r="C408" s="141"/>
      <c r="G408" s="141"/>
      <c r="H408" s="141"/>
      <c r="I408" s="141"/>
    </row>
    <row r="409">
      <c r="B409" s="141"/>
      <c r="C409" s="141"/>
      <c r="G409" s="141"/>
      <c r="H409" s="141"/>
      <c r="I409" s="141"/>
    </row>
    <row r="410">
      <c r="B410" s="141"/>
      <c r="C410" s="141"/>
      <c r="G410" s="141"/>
      <c r="H410" s="141"/>
      <c r="I410" s="141"/>
    </row>
    <row r="411">
      <c r="B411" s="141"/>
      <c r="C411" s="141"/>
      <c r="G411" s="141"/>
      <c r="H411" s="141"/>
      <c r="I411" s="141"/>
    </row>
    <row r="412">
      <c r="B412" s="141"/>
      <c r="C412" s="141"/>
      <c r="G412" s="141"/>
      <c r="H412" s="141"/>
      <c r="I412" s="141"/>
    </row>
    <row r="413">
      <c r="B413" s="141"/>
      <c r="C413" s="141"/>
      <c r="G413" s="141"/>
      <c r="H413" s="141"/>
      <c r="I413" s="141"/>
    </row>
    <row r="414">
      <c r="B414" s="141"/>
      <c r="C414" s="141"/>
      <c r="G414" s="141"/>
      <c r="H414" s="141"/>
      <c r="I414" s="141"/>
    </row>
    <row r="415">
      <c r="B415" s="141"/>
      <c r="C415" s="141"/>
      <c r="G415" s="141"/>
      <c r="H415" s="141"/>
      <c r="I415" s="141"/>
    </row>
    <row r="416">
      <c r="B416" s="141"/>
      <c r="C416" s="141"/>
      <c r="G416" s="141"/>
      <c r="H416" s="141"/>
      <c r="I416" s="141"/>
    </row>
    <row r="417">
      <c r="B417" s="141"/>
      <c r="C417" s="141"/>
      <c r="G417" s="141"/>
      <c r="H417" s="141"/>
      <c r="I417" s="141"/>
    </row>
    <row r="418">
      <c r="B418" s="141"/>
      <c r="C418" s="141"/>
      <c r="G418" s="141"/>
      <c r="H418" s="141"/>
      <c r="I418" s="141"/>
    </row>
    <row r="419">
      <c r="B419" s="141"/>
      <c r="C419" s="141"/>
      <c r="G419" s="141"/>
      <c r="H419" s="141"/>
      <c r="I419" s="141"/>
    </row>
    <row r="420">
      <c r="B420" s="141"/>
      <c r="C420" s="141"/>
      <c r="G420" s="141"/>
      <c r="H420" s="141"/>
      <c r="I420" s="141"/>
    </row>
    <row r="421">
      <c r="B421" s="141"/>
      <c r="C421" s="141"/>
      <c r="G421" s="141"/>
      <c r="H421" s="141"/>
      <c r="I421" s="141"/>
    </row>
    <row r="422">
      <c r="B422" s="141"/>
      <c r="C422" s="141"/>
      <c r="G422" s="141"/>
      <c r="H422" s="141"/>
      <c r="I422" s="141"/>
    </row>
    <row r="423">
      <c r="B423" s="141"/>
      <c r="C423" s="141"/>
      <c r="G423" s="141"/>
      <c r="H423" s="141"/>
      <c r="I423" s="141"/>
    </row>
    <row r="424">
      <c r="B424" s="141"/>
      <c r="C424" s="141"/>
      <c r="G424" s="141"/>
      <c r="H424" s="141"/>
      <c r="I424" s="141"/>
    </row>
    <row r="425">
      <c r="B425" s="141"/>
      <c r="C425" s="141"/>
      <c r="G425" s="141"/>
      <c r="H425" s="141"/>
      <c r="I425" s="141"/>
    </row>
    <row r="426">
      <c r="B426" s="141"/>
      <c r="C426" s="141"/>
      <c r="G426" s="141"/>
      <c r="H426" s="141"/>
      <c r="I426" s="141"/>
    </row>
    <row r="427">
      <c r="B427" s="141"/>
      <c r="C427" s="141"/>
      <c r="G427" s="141"/>
      <c r="H427" s="141"/>
      <c r="I427" s="141"/>
    </row>
    <row r="428">
      <c r="B428" s="141"/>
      <c r="C428" s="141"/>
      <c r="G428" s="141"/>
      <c r="H428" s="141"/>
      <c r="I428" s="141"/>
    </row>
    <row r="429">
      <c r="B429" s="141"/>
      <c r="C429" s="141"/>
      <c r="G429" s="141"/>
      <c r="H429" s="141"/>
      <c r="I429" s="141"/>
    </row>
    <row r="430">
      <c r="B430" s="141"/>
      <c r="C430" s="141"/>
      <c r="G430" s="141"/>
      <c r="H430" s="141"/>
      <c r="I430" s="141"/>
    </row>
    <row r="431">
      <c r="B431" s="141"/>
      <c r="C431" s="141"/>
      <c r="G431" s="141"/>
      <c r="H431" s="141"/>
      <c r="I431" s="141"/>
    </row>
    <row r="432">
      <c r="B432" s="141"/>
      <c r="C432" s="141"/>
      <c r="G432" s="141"/>
      <c r="H432" s="141"/>
      <c r="I432" s="141"/>
    </row>
    <row r="433">
      <c r="B433" s="141"/>
      <c r="C433" s="141"/>
      <c r="G433" s="141"/>
      <c r="H433" s="141"/>
      <c r="I433" s="141"/>
    </row>
    <row r="434">
      <c r="B434" s="141"/>
      <c r="C434" s="141"/>
      <c r="G434" s="141"/>
      <c r="H434" s="141"/>
      <c r="I434" s="141"/>
    </row>
    <row r="435">
      <c r="B435" s="141"/>
      <c r="C435" s="141"/>
      <c r="G435" s="141"/>
      <c r="H435" s="141"/>
      <c r="I435" s="141"/>
    </row>
    <row r="436">
      <c r="B436" s="141"/>
      <c r="C436" s="141"/>
      <c r="G436" s="141"/>
      <c r="H436" s="141"/>
      <c r="I436" s="141"/>
    </row>
    <row r="437">
      <c r="B437" s="141"/>
      <c r="C437" s="141"/>
      <c r="G437" s="141"/>
      <c r="H437" s="141"/>
      <c r="I437" s="141"/>
    </row>
    <row r="438">
      <c r="B438" s="141"/>
      <c r="C438" s="141"/>
      <c r="G438" s="141"/>
      <c r="H438" s="141"/>
      <c r="I438" s="141"/>
    </row>
    <row r="439">
      <c r="B439" s="141"/>
      <c r="C439" s="141"/>
      <c r="G439" s="141"/>
      <c r="H439" s="141"/>
      <c r="I439" s="141"/>
    </row>
    <row r="440">
      <c r="B440" s="141"/>
      <c r="C440" s="141"/>
      <c r="G440" s="141"/>
      <c r="H440" s="141"/>
      <c r="I440" s="141"/>
    </row>
    <row r="441">
      <c r="B441" s="141"/>
      <c r="C441" s="141"/>
      <c r="G441" s="141"/>
      <c r="H441" s="141"/>
      <c r="I441" s="141"/>
    </row>
    <row r="442">
      <c r="B442" s="141"/>
      <c r="C442" s="141"/>
      <c r="G442" s="141"/>
      <c r="H442" s="141"/>
      <c r="I442" s="141"/>
    </row>
    <row r="443">
      <c r="B443" s="141"/>
      <c r="C443" s="141"/>
      <c r="G443" s="141"/>
      <c r="H443" s="141"/>
      <c r="I443" s="141"/>
    </row>
    <row r="444">
      <c r="B444" s="141"/>
      <c r="C444" s="141"/>
      <c r="G444" s="141"/>
      <c r="H444" s="141"/>
      <c r="I444" s="141"/>
    </row>
    <row r="445">
      <c r="B445" s="141"/>
      <c r="C445" s="141"/>
      <c r="G445" s="141"/>
      <c r="H445" s="141"/>
      <c r="I445" s="141"/>
    </row>
    <row r="446">
      <c r="B446" s="141"/>
      <c r="C446" s="141"/>
      <c r="G446" s="141"/>
      <c r="H446" s="141"/>
      <c r="I446" s="141"/>
    </row>
    <row r="447">
      <c r="B447" s="141"/>
      <c r="C447" s="141"/>
      <c r="G447" s="141"/>
      <c r="H447" s="141"/>
      <c r="I447" s="141"/>
    </row>
    <row r="448">
      <c r="B448" s="141"/>
      <c r="C448" s="141"/>
      <c r="G448" s="141"/>
      <c r="H448" s="141"/>
      <c r="I448" s="141"/>
    </row>
    <row r="449">
      <c r="B449" s="141"/>
      <c r="C449" s="141"/>
      <c r="G449" s="141"/>
      <c r="H449" s="141"/>
      <c r="I449" s="141"/>
    </row>
    <row r="450">
      <c r="B450" s="141"/>
      <c r="C450" s="141"/>
      <c r="G450" s="141"/>
      <c r="H450" s="141"/>
      <c r="I450" s="141"/>
    </row>
    <row r="451">
      <c r="B451" s="141"/>
      <c r="C451" s="141"/>
      <c r="G451" s="141"/>
      <c r="H451" s="141"/>
      <c r="I451" s="141"/>
    </row>
    <row r="452">
      <c r="B452" s="141"/>
      <c r="C452" s="141"/>
      <c r="G452" s="141"/>
      <c r="H452" s="141"/>
      <c r="I452" s="141"/>
    </row>
    <row r="453">
      <c r="B453" s="141"/>
      <c r="C453" s="141"/>
      <c r="G453" s="141"/>
      <c r="H453" s="141"/>
      <c r="I453" s="141"/>
    </row>
    <row r="454">
      <c r="B454" s="141"/>
      <c r="C454" s="141"/>
      <c r="G454" s="141"/>
      <c r="H454" s="141"/>
      <c r="I454" s="141"/>
    </row>
    <row r="455">
      <c r="B455" s="141"/>
      <c r="C455" s="141"/>
      <c r="G455" s="141"/>
      <c r="H455" s="141"/>
      <c r="I455" s="141"/>
    </row>
    <row r="456">
      <c r="B456" s="141"/>
      <c r="C456" s="141"/>
      <c r="G456" s="141"/>
      <c r="H456" s="141"/>
      <c r="I456" s="141"/>
    </row>
    <row r="457">
      <c r="B457" s="141"/>
      <c r="C457" s="141"/>
      <c r="G457" s="141"/>
      <c r="H457" s="141"/>
      <c r="I457" s="141"/>
    </row>
    <row r="458">
      <c r="B458" s="141"/>
      <c r="C458" s="141"/>
      <c r="G458" s="141"/>
      <c r="H458" s="141"/>
      <c r="I458" s="141"/>
    </row>
    <row r="459">
      <c r="B459" s="141"/>
      <c r="C459" s="141"/>
      <c r="G459" s="141"/>
      <c r="H459" s="141"/>
      <c r="I459" s="141"/>
    </row>
    <row r="460">
      <c r="B460" s="141"/>
      <c r="C460" s="141"/>
      <c r="G460" s="141"/>
      <c r="H460" s="141"/>
      <c r="I460" s="141"/>
    </row>
    <row r="461">
      <c r="B461" s="141"/>
      <c r="C461" s="141"/>
      <c r="G461" s="141"/>
      <c r="H461" s="141"/>
      <c r="I461" s="141"/>
    </row>
    <row r="462">
      <c r="B462" s="141"/>
      <c r="C462" s="141"/>
      <c r="G462" s="141"/>
      <c r="H462" s="141"/>
      <c r="I462" s="141"/>
    </row>
    <row r="463">
      <c r="B463" s="141"/>
      <c r="C463" s="141"/>
      <c r="G463" s="141"/>
      <c r="H463" s="141"/>
      <c r="I463" s="141"/>
    </row>
    <row r="464">
      <c r="B464" s="141"/>
      <c r="C464" s="141"/>
      <c r="G464" s="141"/>
      <c r="H464" s="141"/>
      <c r="I464" s="141"/>
    </row>
    <row r="465">
      <c r="B465" s="141"/>
      <c r="C465" s="141"/>
      <c r="G465" s="141"/>
      <c r="H465" s="141"/>
      <c r="I465" s="141"/>
    </row>
    <row r="466">
      <c r="B466" s="141"/>
      <c r="C466" s="141"/>
      <c r="G466" s="141"/>
      <c r="H466" s="141"/>
      <c r="I466" s="141"/>
    </row>
    <row r="467">
      <c r="B467" s="141"/>
      <c r="C467" s="141"/>
      <c r="G467" s="141"/>
      <c r="H467" s="141"/>
      <c r="I467" s="141"/>
    </row>
    <row r="468">
      <c r="B468" s="141"/>
      <c r="C468" s="141"/>
      <c r="G468" s="141"/>
      <c r="H468" s="141"/>
      <c r="I468" s="141"/>
    </row>
    <row r="469">
      <c r="B469" s="141"/>
      <c r="C469" s="141"/>
      <c r="G469" s="141"/>
      <c r="H469" s="141"/>
      <c r="I469" s="141"/>
    </row>
    <row r="470">
      <c r="B470" s="141"/>
      <c r="C470" s="141"/>
      <c r="G470" s="141"/>
      <c r="H470" s="141"/>
      <c r="I470" s="141"/>
    </row>
    <row r="471">
      <c r="B471" s="141"/>
      <c r="C471" s="141"/>
      <c r="G471" s="141"/>
      <c r="H471" s="141"/>
      <c r="I471" s="141"/>
    </row>
    <row r="472">
      <c r="B472" s="141"/>
      <c r="C472" s="141"/>
      <c r="G472" s="141"/>
      <c r="H472" s="141"/>
      <c r="I472" s="141"/>
    </row>
    <row r="473">
      <c r="B473" s="141"/>
      <c r="C473" s="141"/>
      <c r="G473" s="141"/>
      <c r="H473" s="141"/>
      <c r="I473" s="141"/>
    </row>
    <row r="474">
      <c r="B474" s="141"/>
      <c r="C474" s="141"/>
      <c r="G474" s="141"/>
      <c r="H474" s="141"/>
      <c r="I474" s="141"/>
    </row>
    <row r="475">
      <c r="B475" s="141"/>
      <c r="C475" s="141"/>
      <c r="G475" s="141"/>
      <c r="H475" s="141"/>
      <c r="I475" s="141"/>
    </row>
    <row r="476">
      <c r="B476" s="141"/>
      <c r="C476" s="141"/>
      <c r="G476" s="141"/>
      <c r="H476" s="141"/>
      <c r="I476" s="141"/>
    </row>
    <row r="477">
      <c r="B477" s="141"/>
      <c r="C477" s="141"/>
      <c r="G477" s="141"/>
      <c r="H477" s="141"/>
      <c r="I477" s="141"/>
    </row>
    <row r="478">
      <c r="B478" s="141"/>
      <c r="C478" s="141"/>
      <c r="G478" s="141"/>
      <c r="H478" s="141"/>
      <c r="I478" s="141"/>
    </row>
    <row r="479">
      <c r="B479" s="141"/>
      <c r="C479" s="141"/>
      <c r="G479" s="141"/>
      <c r="H479" s="141"/>
      <c r="I479" s="141"/>
    </row>
    <row r="480">
      <c r="B480" s="141"/>
      <c r="C480" s="141"/>
      <c r="G480" s="141"/>
      <c r="H480" s="141"/>
      <c r="I480" s="141"/>
    </row>
    <row r="481">
      <c r="B481" s="141"/>
      <c r="C481" s="141"/>
      <c r="G481" s="141"/>
      <c r="H481" s="141"/>
      <c r="I481" s="141"/>
    </row>
    <row r="482">
      <c r="B482" s="141"/>
      <c r="C482" s="141"/>
      <c r="G482" s="141"/>
      <c r="H482" s="141"/>
      <c r="I482" s="141"/>
    </row>
    <row r="483">
      <c r="B483" s="141"/>
      <c r="C483" s="141"/>
      <c r="G483" s="141"/>
      <c r="H483" s="141"/>
      <c r="I483" s="141"/>
    </row>
    <row r="484">
      <c r="B484" s="141"/>
      <c r="C484" s="141"/>
      <c r="G484" s="141"/>
      <c r="H484" s="141"/>
      <c r="I484" s="141"/>
    </row>
    <row r="485">
      <c r="B485" s="141"/>
      <c r="C485" s="141"/>
      <c r="G485" s="141"/>
      <c r="H485" s="141"/>
      <c r="I485" s="141"/>
    </row>
    <row r="486">
      <c r="B486" s="141"/>
      <c r="C486" s="141"/>
      <c r="G486" s="141"/>
      <c r="H486" s="141"/>
      <c r="I486" s="141"/>
    </row>
    <row r="487">
      <c r="B487" s="141"/>
      <c r="C487" s="141"/>
      <c r="G487" s="141"/>
      <c r="H487" s="141"/>
      <c r="I487" s="141"/>
    </row>
    <row r="488">
      <c r="B488" s="141"/>
      <c r="C488" s="141"/>
      <c r="G488" s="141"/>
      <c r="H488" s="141"/>
      <c r="I488" s="141"/>
    </row>
    <row r="489">
      <c r="B489" s="141"/>
      <c r="C489" s="141"/>
      <c r="G489" s="141"/>
      <c r="H489" s="141"/>
      <c r="I489" s="141"/>
    </row>
    <row r="490">
      <c r="B490" s="141"/>
      <c r="C490" s="141"/>
      <c r="G490" s="141"/>
      <c r="H490" s="141"/>
      <c r="I490" s="141"/>
    </row>
    <row r="491">
      <c r="B491" s="141"/>
      <c r="C491" s="141"/>
      <c r="G491" s="141"/>
      <c r="H491" s="141"/>
      <c r="I491" s="141"/>
    </row>
    <row r="492">
      <c r="B492" s="141"/>
      <c r="C492" s="141"/>
      <c r="G492" s="141"/>
      <c r="H492" s="141"/>
      <c r="I492" s="141"/>
    </row>
    <row r="493">
      <c r="B493" s="141"/>
      <c r="C493" s="141"/>
      <c r="G493" s="141"/>
      <c r="H493" s="141"/>
      <c r="I493" s="141"/>
    </row>
    <row r="494">
      <c r="B494" s="141"/>
      <c r="C494" s="141"/>
      <c r="G494" s="141"/>
      <c r="H494" s="141"/>
      <c r="I494" s="141"/>
    </row>
    <row r="495">
      <c r="B495" s="141"/>
      <c r="C495" s="141"/>
      <c r="G495" s="141"/>
      <c r="H495" s="141"/>
      <c r="I495" s="141"/>
    </row>
    <row r="496">
      <c r="B496" s="141"/>
      <c r="C496" s="141"/>
      <c r="G496" s="141"/>
      <c r="H496" s="141"/>
      <c r="I496" s="141"/>
    </row>
    <row r="497">
      <c r="B497" s="141"/>
      <c r="C497" s="141"/>
      <c r="G497" s="141"/>
      <c r="H497" s="141"/>
      <c r="I497" s="141"/>
    </row>
    <row r="498">
      <c r="B498" s="141"/>
      <c r="C498" s="141"/>
      <c r="G498" s="141"/>
      <c r="H498" s="141"/>
      <c r="I498" s="141"/>
    </row>
    <row r="499">
      <c r="B499" s="141"/>
      <c r="C499" s="141"/>
      <c r="G499" s="141"/>
      <c r="H499" s="141"/>
      <c r="I499" s="141"/>
    </row>
    <row r="500">
      <c r="B500" s="141"/>
      <c r="C500" s="141"/>
      <c r="G500" s="141"/>
      <c r="H500" s="141"/>
      <c r="I500" s="141"/>
    </row>
    <row r="501">
      <c r="B501" s="141"/>
      <c r="C501" s="141"/>
      <c r="G501" s="141"/>
      <c r="H501" s="141"/>
      <c r="I501" s="141"/>
    </row>
    <row r="502">
      <c r="B502" s="141"/>
      <c r="C502" s="141"/>
      <c r="G502" s="141"/>
      <c r="H502" s="141"/>
      <c r="I502" s="141"/>
    </row>
    <row r="503">
      <c r="B503" s="141"/>
      <c r="C503" s="141"/>
      <c r="G503" s="141"/>
      <c r="H503" s="141"/>
      <c r="I503" s="141"/>
    </row>
    <row r="504">
      <c r="B504" s="141"/>
      <c r="C504" s="141"/>
      <c r="G504" s="141"/>
      <c r="H504" s="141"/>
      <c r="I504" s="141"/>
    </row>
    <row r="505">
      <c r="B505" s="141"/>
      <c r="C505" s="141"/>
      <c r="G505" s="141"/>
      <c r="H505" s="141"/>
      <c r="I505" s="141"/>
    </row>
    <row r="506">
      <c r="B506" s="141"/>
      <c r="C506" s="141"/>
      <c r="G506" s="141"/>
      <c r="H506" s="141"/>
      <c r="I506" s="141"/>
    </row>
    <row r="507">
      <c r="B507" s="141"/>
      <c r="C507" s="141"/>
      <c r="G507" s="141"/>
      <c r="H507" s="141"/>
      <c r="I507" s="141"/>
    </row>
    <row r="508">
      <c r="B508" s="141"/>
      <c r="C508" s="141"/>
      <c r="G508" s="141"/>
      <c r="H508" s="141"/>
      <c r="I508" s="141"/>
    </row>
    <row r="509">
      <c r="B509" s="141"/>
      <c r="C509" s="141"/>
      <c r="G509" s="141"/>
      <c r="H509" s="141"/>
      <c r="I509" s="141"/>
    </row>
    <row r="510">
      <c r="B510" s="141"/>
      <c r="C510" s="141"/>
      <c r="G510" s="141"/>
      <c r="H510" s="141"/>
      <c r="I510" s="141"/>
    </row>
    <row r="511">
      <c r="B511" s="141"/>
      <c r="C511" s="141"/>
      <c r="G511" s="141"/>
      <c r="H511" s="141"/>
      <c r="I511" s="141"/>
    </row>
    <row r="512">
      <c r="B512" s="141"/>
      <c r="C512" s="141"/>
      <c r="G512" s="141"/>
      <c r="H512" s="141"/>
      <c r="I512" s="141"/>
    </row>
    <row r="513">
      <c r="B513" s="141"/>
      <c r="C513" s="141"/>
      <c r="G513" s="141"/>
      <c r="H513" s="141"/>
      <c r="I513" s="141"/>
    </row>
    <row r="514">
      <c r="B514" s="141"/>
      <c r="C514" s="141"/>
      <c r="G514" s="141"/>
      <c r="H514" s="141"/>
      <c r="I514" s="141"/>
    </row>
    <row r="515">
      <c r="B515" s="141"/>
      <c r="C515" s="141"/>
      <c r="G515" s="141"/>
      <c r="H515" s="141"/>
      <c r="I515" s="141"/>
    </row>
    <row r="516">
      <c r="B516" s="141"/>
      <c r="C516" s="141"/>
      <c r="G516" s="141"/>
      <c r="H516" s="141"/>
      <c r="I516" s="141"/>
    </row>
    <row r="517">
      <c r="B517" s="141"/>
      <c r="C517" s="141"/>
      <c r="G517" s="141"/>
      <c r="H517" s="141"/>
      <c r="I517" s="141"/>
    </row>
    <row r="518">
      <c r="B518" s="141"/>
      <c r="C518" s="141"/>
      <c r="G518" s="141"/>
      <c r="H518" s="141"/>
      <c r="I518" s="141"/>
    </row>
    <row r="519">
      <c r="B519" s="141"/>
      <c r="C519" s="141"/>
      <c r="G519" s="141"/>
      <c r="H519" s="141"/>
      <c r="I519" s="141"/>
    </row>
    <row r="520">
      <c r="B520" s="141"/>
      <c r="C520" s="141"/>
      <c r="G520" s="141"/>
      <c r="H520" s="141"/>
      <c r="I520" s="141"/>
    </row>
    <row r="521">
      <c r="B521" s="141"/>
      <c r="C521" s="141"/>
      <c r="G521" s="141"/>
      <c r="H521" s="141"/>
      <c r="I521" s="141"/>
    </row>
    <row r="522">
      <c r="B522" s="141"/>
      <c r="C522" s="141"/>
      <c r="G522" s="141"/>
      <c r="H522" s="141"/>
      <c r="I522" s="141"/>
    </row>
    <row r="523">
      <c r="B523" s="141"/>
      <c r="C523" s="141"/>
      <c r="G523" s="141"/>
      <c r="H523" s="141"/>
      <c r="I523" s="141"/>
    </row>
    <row r="524">
      <c r="B524" s="141"/>
      <c r="C524" s="141"/>
      <c r="G524" s="141"/>
      <c r="H524" s="141"/>
      <c r="I524" s="141"/>
    </row>
    <row r="525">
      <c r="B525" s="141"/>
      <c r="C525" s="141"/>
      <c r="G525" s="141"/>
      <c r="H525" s="141"/>
      <c r="I525" s="141"/>
    </row>
    <row r="526">
      <c r="B526" s="141"/>
      <c r="C526" s="141"/>
      <c r="G526" s="141"/>
      <c r="H526" s="141"/>
      <c r="I526" s="141"/>
    </row>
    <row r="527">
      <c r="B527" s="141"/>
      <c r="C527" s="141"/>
      <c r="G527" s="141"/>
      <c r="H527" s="141"/>
      <c r="I527" s="141"/>
    </row>
    <row r="528">
      <c r="B528" s="141"/>
      <c r="C528" s="141"/>
      <c r="G528" s="141"/>
      <c r="H528" s="141"/>
      <c r="I528" s="141"/>
    </row>
    <row r="529">
      <c r="B529" s="141"/>
      <c r="C529" s="141"/>
      <c r="G529" s="141"/>
      <c r="H529" s="141"/>
      <c r="I529" s="141"/>
    </row>
    <row r="530">
      <c r="B530" s="141"/>
      <c r="C530" s="141"/>
      <c r="G530" s="141"/>
      <c r="H530" s="141"/>
      <c r="I530" s="141"/>
    </row>
    <row r="531">
      <c r="B531" s="141"/>
      <c r="C531" s="141"/>
      <c r="G531" s="141"/>
      <c r="H531" s="141"/>
      <c r="I531" s="141"/>
    </row>
    <row r="532">
      <c r="B532" s="141"/>
      <c r="C532" s="141"/>
      <c r="G532" s="141"/>
      <c r="H532" s="141"/>
      <c r="I532" s="141"/>
    </row>
    <row r="533">
      <c r="B533" s="141"/>
      <c r="C533" s="141"/>
      <c r="G533" s="141"/>
      <c r="H533" s="141"/>
      <c r="I533" s="141"/>
    </row>
    <row r="534">
      <c r="B534" s="141"/>
      <c r="C534" s="141"/>
      <c r="G534" s="141"/>
      <c r="H534" s="141"/>
      <c r="I534" s="141"/>
    </row>
    <row r="535">
      <c r="B535" s="141"/>
      <c r="C535" s="141"/>
      <c r="G535" s="141"/>
      <c r="H535" s="141"/>
      <c r="I535" s="141"/>
    </row>
    <row r="536">
      <c r="B536" s="141"/>
      <c r="C536" s="141"/>
      <c r="G536" s="141"/>
      <c r="H536" s="141"/>
      <c r="I536" s="141"/>
    </row>
    <row r="537">
      <c r="B537" s="141"/>
      <c r="C537" s="141"/>
      <c r="G537" s="141"/>
      <c r="H537" s="141"/>
      <c r="I537" s="141"/>
    </row>
    <row r="538">
      <c r="B538" s="141"/>
      <c r="C538" s="141"/>
      <c r="G538" s="141"/>
      <c r="H538" s="141"/>
      <c r="I538" s="141"/>
    </row>
    <row r="539">
      <c r="B539" s="141"/>
      <c r="C539" s="141"/>
      <c r="G539" s="141"/>
      <c r="H539" s="141"/>
      <c r="I539" s="141"/>
    </row>
    <row r="540">
      <c r="B540" s="141"/>
      <c r="C540" s="141"/>
      <c r="G540" s="141"/>
      <c r="H540" s="141"/>
      <c r="I540" s="141"/>
    </row>
    <row r="541">
      <c r="B541" s="141"/>
      <c r="C541" s="141"/>
      <c r="G541" s="141"/>
      <c r="H541" s="141"/>
      <c r="I541" s="141"/>
    </row>
    <row r="542">
      <c r="B542" s="141"/>
      <c r="C542" s="141"/>
      <c r="G542" s="141"/>
      <c r="H542" s="141"/>
      <c r="I542" s="141"/>
    </row>
    <row r="543">
      <c r="B543" s="141"/>
      <c r="C543" s="141"/>
      <c r="G543" s="141"/>
      <c r="H543" s="141"/>
      <c r="I543" s="141"/>
    </row>
    <row r="544">
      <c r="B544" s="141"/>
      <c r="C544" s="141"/>
      <c r="G544" s="141"/>
      <c r="H544" s="141"/>
      <c r="I544" s="141"/>
    </row>
    <row r="545">
      <c r="B545" s="141"/>
      <c r="C545" s="141"/>
      <c r="G545" s="141"/>
      <c r="H545" s="141"/>
      <c r="I545" s="141"/>
    </row>
    <row r="546">
      <c r="B546" s="141"/>
      <c r="C546" s="141"/>
      <c r="G546" s="141"/>
      <c r="H546" s="141"/>
      <c r="I546" s="141"/>
    </row>
    <row r="547">
      <c r="B547" s="141"/>
      <c r="C547" s="141"/>
      <c r="G547" s="141"/>
      <c r="H547" s="141"/>
      <c r="I547" s="141"/>
    </row>
    <row r="548">
      <c r="B548" s="141"/>
      <c r="C548" s="141"/>
      <c r="G548" s="141"/>
      <c r="H548" s="141"/>
      <c r="I548" s="141"/>
    </row>
    <row r="549">
      <c r="B549" s="141"/>
      <c r="C549" s="141"/>
      <c r="G549" s="141"/>
      <c r="H549" s="141"/>
      <c r="I549" s="141"/>
    </row>
    <row r="550">
      <c r="B550" s="141"/>
      <c r="C550" s="141"/>
      <c r="G550" s="141"/>
      <c r="H550" s="141"/>
      <c r="I550" s="141"/>
    </row>
    <row r="551">
      <c r="B551" s="141"/>
      <c r="C551" s="141"/>
      <c r="G551" s="141"/>
      <c r="H551" s="141"/>
      <c r="I551" s="141"/>
    </row>
    <row r="552">
      <c r="B552" s="141"/>
      <c r="C552" s="141"/>
      <c r="G552" s="141"/>
      <c r="H552" s="141"/>
      <c r="I552" s="141"/>
    </row>
    <row r="553">
      <c r="B553" s="141"/>
      <c r="C553" s="141"/>
      <c r="G553" s="141"/>
      <c r="H553" s="141"/>
      <c r="I553" s="141"/>
    </row>
    <row r="554">
      <c r="B554" s="141"/>
      <c r="C554" s="141"/>
      <c r="G554" s="141"/>
      <c r="H554" s="141"/>
      <c r="I554" s="141"/>
    </row>
    <row r="555">
      <c r="B555" s="141"/>
      <c r="C555" s="141"/>
      <c r="G555" s="141"/>
      <c r="H555" s="141"/>
      <c r="I555" s="141"/>
    </row>
    <row r="556">
      <c r="B556" s="141"/>
      <c r="C556" s="141"/>
      <c r="G556" s="141"/>
      <c r="H556" s="141"/>
      <c r="I556" s="141"/>
    </row>
    <row r="557">
      <c r="B557" s="141"/>
      <c r="C557" s="141"/>
      <c r="G557" s="141"/>
      <c r="H557" s="141"/>
      <c r="I557" s="141"/>
    </row>
    <row r="558">
      <c r="B558" s="141"/>
      <c r="C558" s="141"/>
      <c r="G558" s="141"/>
      <c r="H558" s="141"/>
      <c r="I558" s="141"/>
    </row>
    <row r="559">
      <c r="B559" s="141"/>
      <c r="C559" s="141"/>
      <c r="G559" s="141"/>
      <c r="H559" s="141"/>
      <c r="I559" s="141"/>
    </row>
    <row r="560">
      <c r="B560" s="141"/>
      <c r="C560" s="141"/>
      <c r="G560" s="141"/>
      <c r="H560" s="141"/>
      <c r="I560" s="141"/>
    </row>
    <row r="561">
      <c r="B561" s="141"/>
      <c r="C561" s="141"/>
      <c r="G561" s="141"/>
      <c r="H561" s="141"/>
      <c r="I561" s="141"/>
    </row>
    <row r="562">
      <c r="B562" s="141"/>
      <c r="C562" s="141"/>
      <c r="G562" s="141"/>
      <c r="H562" s="141"/>
      <c r="I562" s="141"/>
    </row>
    <row r="563">
      <c r="B563" s="141"/>
      <c r="C563" s="141"/>
      <c r="G563" s="141"/>
      <c r="H563" s="141"/>
      <c r="I563" s="141"/>
    </row>
    <row r="564">
      <c r="B564" s="141"/>
      <c r="C564" s="141"/>
      <c r="G564" s="141"/>
      <c r="H564" s="141"/>
      <c r="I564" s="141"/>
    </row>
    <row r="565">
      <c r="B565" s="141"/>
      <c r="C565" s="141"/>
      <c r="G565" s="141"/>
      <c r="H565" s="141"/>
      <c r="I565" s="141"/>
    </row>
    <row r="566">
      <c r="B566" s="141"/>
      <c r="C566" s="141"/>
      <c r="G566" s="141"/>
      <c r="H566" s="141"/>
      <c r="I566" s="141"/>
    </row>
    <row r="567">
      <c r="B567" s="141"/>
      <c r="C567" s="141"/>
      <c r="G567" s="141"/>
      <c r="H567" s="141"/>
      <c r="I567" s="141"/>
    </row>
    <row r="568">
      <c r="B568" s="141"/>
      <c r="C568" s="141"/>
      <c r="G568" s="141"/>
      <c r="H568" s="141"/>
      <c r="I568" s="141"/>
    </row>
    <row r="569">
      <c r="B569" s="141"/>
      <c r="C569" s="141"/>
      <c r="G569" s="141"/>
      <c r="H569" s="141"/>
      <c r="I569" s="141"/>
    </row>
    <row r="570">
      <c r="B570" s="141"/>
      <c r="C570" s="141"/>
      <c r="G570" s="141"/>
      <c r="H570" s="141"/>
      <c r="I570" s="141"/>
    </row>
    <row r="571">
      <c r="B571" s="141"/>
      <c r="C571" s="141"/>
      <c r="G571" s="141"/>
      <c r="H571" s="141"/>
      <c r="I571" s="141"/>
    </row>
    <row r="572">
      <c r="B572" s="141"/>
      <c r="C572" s="141"/>
      <c r="G572" s="141"/>
      <c r="H572" s="141"/>
      <c r="I572" s="141"/>
    </row>
    <row r="573">
      <c r="B573" s="141"/>
      <c r="C573" s="141"/>
      <c r="G573" s="141"/>
      <c r="H573" s="141"/>
      <c r="I573" s="141"/>
    </row>
    <row r="574">
      <c r="B574" s="141"/>
      <c r="C574" s="141"/>
      <c r="G574" s="141"/>
      <c r="H574" s="141"/>
      <c r="I574" s="141"/>
    </row>
    <row r="575">
      <c r="B575" s="141"/>
      <c r="C575" s="141"/>
      <c r="G575" s="141"/>
      <c r="H575" s="141"/>
      <c r="I575" s="141"/>
    </row>
    <row r="576">
      <c r="B576" s="141"/>
      <c r="C576" s="141"/>
      <c r="G576" s="141"/>
      <c r="H576" s="141"/>
      <c r="I576" s="141"/>
    </row>
    <row r="577">
      <c r="B577" s="141"/>
      <c r="C577" s="141"/>
      <c r="G577" s="141"/>
      <c r="H577" s="141"/>
      <c r="I577" s="141"/>
    </row>
    <row r="578">
      <c r="B578" s="141"/>
      <c r="C578" s="141"/>
      <c r="G578" s="141"/>
      <c r="H578" s="141"/>
      <c r="I578" s="141"/>
    </row>
    <row r="579">
      <c r="B579" s="141"/>
      <c r="C579" s="141"/>
      <c r="G579" s="141"/>
      <c r="H579" s="141"/>
      <c r="I579" s="141"/>
    </row>
    <row r="580">
      <c r="B580" s="141"/>
      <c r="C580" s="141"/>
      <c r="G580" s="141"/>
      <c r="H580" s="141"/>
      <c r="I580" s="141"/>
    </row>
    <row r="581">
      <c r="B581" s="141"/>
      <c r="C581" s="141"/>
      <c r="G581" s="141"/>
      <c r="H581" s="141"/>
      <c r="I581" s="141"/>
    </row>
    <row r="582">
      <c r="B582" s="141"/>
      <c r="C582" s="141"/>
      <c r="G582" s="141"/>
      <c r="H582" s="141"/>
      <c r="I582" s="141"/>
    </row>
    <row r="583">
      <c r="B583" s="141"/>
      <c r="C583" s="141"/>
      <c r="G583" s="141"/>
      <c r="H583" s="141"/>
      <c r="I583" s="141"/>
    </row>
    <row r="584">
      <c r="B584" s="141"/>
      <c r="C584" s="141"/>
      <c r="G584" s="141"/>
      <c r="H584" s="141"/>
      <c r="I584" s="141"/>
    </row>
    <row r="585">
      <c r="B585" s="141"/>
      <c r="C585" s="141"/>
      <c r="G585" s="141"/>
      <c r="H585" s="141"/>
      <c r="I585" s="141"/>
    </row>
    <row r="586">
      <c r="B586" s="141"/>
      <c r="C586" s="141"/>
      <c r="G586" s="141"/>
      <c r="H586" s="141"/>
      <c r="I586" s="141"/>
    </row>
    <row r="587">
      <c r="B587" s="141"/>
      <c r="C587" s="141"/>
      <c r="G587" s="141"/>
      <c r="H587" s="141"/>
      <c r="I587" s="141"/>
    </row>
    <row r="588">
      <c r="B588" s="141"/>
      <c r="C588" s="141"/>
      <c r="G588" s="141"/>
      <c r="H588" s="141"/>
      <c r="I588" s="141"/>
    </row>
    <row r="589">
      <c r="B589" s="141"/>
      <c r="C589" s="141"/>
      <c r="G589" s="141"/>
      <c r="H589" s="141"/>
      <c r="I589" s="141"/>
    </row>
    <row r="590">
      <c r="B590" s="141"/>
      <c r="C590" s="141"/>
      <c r="G590" s="141"/>
      <c r="H590" s="141"/>
      <c r="I590" s="141"/>
    </row>
    <row r="591">
      <c r="B591" s="141"/>
      <c r="C591" s="141"/>
      <c r="G591" s="141"/>
      <c r="H591" s="141"/>
      <c r="I591" s="141"/>
    </row>
    <row r="592">
      <c r="B592" s="141"/>
      <c r="C592" s="141"/>
      <c r="G592" s="141"/>
      <c r="H592" s="141"/>
      <c r="I592" s="141"/>
    </row>
    <row r="593">
      <c r="B593" s="141"/>
      <c r="C593" s="141"/>
      <c r="G593" s="141"/>
      <c r="H593" s="141"/>
      <c r="I593" s="141"/>
    </row>
    <row r="594">
      <c r="B594" s="141"/>
      <c r="C594" s="141"/>
      <c r="G594" s="141"/>
      <c r="H594" s="141"/>
      <c r="I594" s="141"/>
    </row>
    <row r="595">
      <c r="B595" s="141"/>
      <c r="C595" s="141"/>
      <c r="G595" s="141"/>
      <c r="H595" s="141"/>
      <c r="I595" s="141"/>
    </row>
    <row r="596">
      <c r="B596" s="141"/>
      <c r="C596" s="141"/>
      <c r="G596" s="141"/>
      <c r="H596" s="141"/>
      <c r="I596" s="141"/>
    </row>
    <row r="597">
      <c r="B597" s="141"/>
      <c r="C597" s="141"/>
      <c r="G597" s="141"/>
      <c r="H597" s="141"/>
      <c r="I597" s="141"/>
    </row>
    <row r="598">
      <c r="B598" s="141"/>
      <c r="C598" s="141"/>
      <c r="G598" s="141"/>
      <c r="H598" s="141"/>
      <c r="I598" s="141"/>
    </row>
    <row r="599">
      <c r="B599" s="141"/>
      <c r="C599" s="141"/>
      <c r="G599" s="141"/>
      <c r="H599" s="141"/>
      <c r="I599" s="141"/>
    </row>
    <row r="600">
      <c r="B600" s="141"/>
      <c r="C600" s="141"/>
      <c r="G600" s="141"/>
      <c r="H600" s="141"/>
      <c r="I600" s="141"/>
    </row>
    <row r="601">
      <c r="B601" s="141"/>
      <c r="C601" s="141"/>
      <c r="G601" s="141"/>
      <c r="H601" s="141"/>
      <c r="I601" s="141"/>
    </row>
    <row r="602">
      <c r="B602" s="141"/>
      <c r="C602" s="141"/>
      <c r="G602" s="141"/>
      <c r="H602" s="141"/>
      <c r="I602" s="141"/>
    </row>
    <row r="603">
      <c r="B603" s="141"/>
      <c r="C603" s="141"/>
      <c r="G603" s="141"/>
      <c r="H603" s="141"/>
      <c r="I603" s="141"/>
    </row>
    <row r="604">
      <c r="B604" s="141"/>
      <c r="C604" s="141"/>
      <c r="G604" s="141"/>
      <c r="H604" s="141"/>
      <c r="I604" s="141"/>
    </row>
    <row r="605">
      <c r="B605" s="141"/>
      <c r="C605" s="141"/>
      <c r="G605" s="141"/>
      <c r="H605" s="141"/>
      <c r="I605" s="141"/>
    </row>
    <row r="606">
      <c r="B606" s="141"/>
      <c r="C606" s="141"/>
      <c r="G606" s="141"/>
      <c r="H606" s="141"/>
      <c r="I606" s="141"/>
    </row>
    <row r="607">
      <c r="B607" s="141"/>
      <c r="C607" s="141"/>
      <c r="G607" s="141"/>
      <c r="H607" s="141"/>
      <c r="I607" s="141"/>
    </row>
    <row r="608">
      <c r="B608" s="141"/>
      <c r="C608" s="141"/>
      <c r="G608" s="141"/>
      <c r="H608" s="141"/>
      <c r="I608" s="141"/>
    </row>
    <row r="609">
      <c r="B609" s="141"/>
      <c r="C609" s="141"/>
      <c r="G609" s="141"/>
      <c r="H609" s="141"/>
      <c r="I609" s="141"/>
    </row>
    <row r="610">
      <c r="B610" s="141"/>
      <c r="C610" s="141"/>
      <c r="G610" s="141"/>
      <c r="H610" s="141"/>
      <c r="I610" s="141"/>
    </row>
    <row r="611">
      <c r="B611" s="141"/>
      <c r="C611" s="141"/>
      <c r="G611" s="141"/>
      <c r="H611" s="141"/>
      <c r="I611" s="141"/>
    </row>
    <row r="612">
      <c r="B612" s="141"/>
      <c r="C612" s="141"/>
      <c r="G612" s="141"/>
      <c r="H612" s="141"/>
      <c r="I612" s="141"/>
    </row>
    <row r="613">
      <c r="B613" s="141"/>
      <c r="C613" s="141"/>
      <c r="G613" s="141"/>
      <c r="H613" s="141"/>
      <c r="I613" s="141"/>
    </row>
    <row r="614">
      <c r="B614" s="141"/>
      <c r="C614" s="141"/>
      <c r="G614" s="141"/>
      <c r="H614" s="141"/>
      <c r="I614" s="141"/>
    </row>
    <row r="615">
      <c r="B615" s="141"/>
      <c r="C615" s="141"/>
      <c r="G615" s="141"/>
      <c r="H615" s="141"/>
      <c r="I615" s="141"/>
    </row>
    <row r="616">
      <c r="B616" s="141"/>
      <c r="C616" s="141"/>
      <c r="G616" s="141"/>
      <c r="H616" s="141"/>
      <c r="I616" s="141"/>
    </row>
    <row r="617">
      <c r="B617" s="141"/>
      <c r="C617" s="141"/>
      <c r="G617" s="141"/>
      <c r="H617" s="141"/>
      <c r="I617" s="141"/>
    </row>
    <row r="618">
      <c r="B618" s="141"/>
      <c r="C618" s="141"/>
      <c r="G618" s="141"/>
      <c r="H618" s="141"/>
      <c r="I618" s="141"/>
    </row>
    <row r="619">
      <c r="B619" s="141"/>
      <c r="C619" s="141"/>
      <c r="G619" s="141"/>
      <c r="H619" s="141"/>
      <c r="I619" s="141"/>
    </row>
    <row r="620">
      <c r="B620" s="141"/>
      <c r="C620" s="141"/>
      <c r="G620" s="141"/>
      <c r="H620" s="141"/>
      <c r="I620" s="141"/>
    </row>
    <row r="621">
      <c r="B621" s="141"/>
      <c r="C621" s="141"/>
      <c r="G621" s="141"/>
      <c r="H621" s="141"/>
      <c r="I621" s="141"/>
    </row>
    <row r="622">
      <c r="B622" s="141"/>
      <c r="C622" s="141"/>
      <c r="G622" s="141"/>
      <c r="H622" s="141"/>
      <c r="I622" s="141"/>
    </row>
    <row r="623">
      <c r="B623" s="141"/>
      <c r="C623" s="141"/>
      <c r="G623" s="141"/>
      <c r="H623" s="141"/>
      <c r="I623" s="141"/>
    </row>
    <row r="624">
      <c r="B624" s="141"/>
      <c r="C624" s="141"/>
      <c r="G624" s="141"/>
      <c r="H624" s="141"/>
      <c r="I624" s="141"/>
    </row>
    <row r="625">
      <c r="B625" s="141"/>
      <c r="C625" s="141"/>
      <c r="G625" s="141"/>
      <c r="H625" s="141"/>
      <c r="I625" s="141"/>
    </row>
    <row r="626">
      <c r="B626" s="141"/>
      <c r="C626" s="141"/>
      <c r="G626" s="141"/>
      <c r="H626" s="141"/>
      <c r="I626" s="141"/>
    </row>
    <row r="627">
      <c r="B627" s="141"/>
      <c r="C627" s="141"/>
      <c r="G627" s="141"/>
      <c r="H627" s="141"/>
      <c r="I627" s="141"/>
    </row>
    <row r="628">
      <c r="B628" s="141"/>
      <c r="C628" s="141"/>
      <c r="G628" s="141"/>
      <c r="H628" s="141"/>
      <c r="I628" s="141"/>
    </row>
    <row r="629">
      <c r="B629" s="141"/>
      <c r="C629" s="141"/>
      <c r="G629" s="141"/>
      <c r="H629" s="141"/>
      <c r="I629" s="141"/>
    </row>
    <row r="630">
      <c r="B630" s="141"/>
      <c r="C630" s="141"/>
      <c r="G630" s="141"/>
      <c r="H630" s="141"/>
      <c r="I630" s="141"/>
    </row>
    <row r="631">
      <c r="B631" s="141"/>
      <c r="C631" s="141"/>
      <c r="G631" s="141"/>
      <c r="H631" s="141"/>
      <c r="I631" s="141"/>
    </row>
    <row r="632">
      <c r="B632" s="141"/>
      <c r="C632" s="141"/>
      <c r="G632" s="141"/>
      <c r="H632" s="141"/>
      <c r="I632" s="141"/>
    </row>
    <row r="633">
      <c r="B633" s="141"/>
      <c r="C633" s="141"/>
      <c r="G633" s="141"/>
      <c r="H633" s="141"/>
      <c r="I633" s="141"/>
    </row>
    <row r="634">
      <c r="B634" s="141"/>
      <c r="C634" s="141"/>
      <c r="G634" s="141"/>
      <c r="H634" s="141"/>
      <c r="I634" s="141"/>
    </row>
    <row r="635">
      <c r="B635" s="141"/>
      <c r="C635" s="141"/>
      <c r="G635" s="141"/>
      <c r="H635" s="141"/>
      <c r="I635" s="141"/>
    </row>
    <row r="636">
      <c r="B636" s="141"/>
      <c r="C636" s="141"/>
      <c r="G636" s="141"/>
      <c r="H636" s="141"/>
      <c r="I636" s="141"/>
    </row>
    <row r="637">
      <c r="B637" s="141"/>
      <c r="C637" s="141"/>
      <c r="G637" s="141"/>
      <c r="H637" s="141"/>
      <c r="I637" s="141"/>
    </row>
    <row r="638">
      <c r="B638" s="141"/>
      <c r="C638" s="141"/>
      <c r="G638" s="141"/>
      <c r="H638" s="141"/>
      <c r="I638" s="141"/>
    </row>
    <row r="639">
      <c r="B639" s="141"/>
      <c r="C639" s="141"/>
      <c r="G639" s="141"/>
      <c r="H639" s="141"/>
      <c r="I639" s="141"/>
    </row>
    <row r="640">
      <c r="B640" s="141"/>
      <c r="C640" s="141"/>
      <c r="G640" s="141"/>
      <c r="H640" s="141"/>
      <c r="I640" s="141"/>
    </row>
    <row r="641">
      <c r="B641" s="141"/>
      <c r="C641" s="141"/>
      <c r="G641" s="141"/>
      <c r="H641" s="141"/>
      <c r="I641" s="141"/>
    </row>
    <row r="642">
      <c r="B642" s="141"/>
      <c r="C642" s="141"/>
      <c r="G642" s="141"/>
      <c r="H642" s="141"/>
      <c r="I642" s="141"/>
    </row>
    <row r="643">
      <c r="B643" s="141"/>
      <c r="C643" s="141"/>
      <c r="G643" s="141"/>
      <c r="H643" s="141"/>
      <c r="I643" s="141"/>
    </row>
    <row r="644">
      <c r="B644" s="141"/>
      <c r="C644" s="141"/>
      <c r="G644" s="141"/>
      <c r="H644" s="141"/>
      <c r="I644" s="141"/>
    </row>
    <row r="645">
      <c r="B645" s="141"/>
      <c r="C645" s="141"/>
      <c r="G645" s="141"/>
      <c r="H645" s="141"/>
      <c r="I645" s="141"/>
    </row>
    <row r="646">
      <c r="B646" s="141"/>
      <c r="C646" s="141"/>
      <c r="G646" s="141"/>
      <c r="H646" s="141"/>
      <c r="I646" s="141"/>
    </row>
    <row r="647">
      <c r="B647" s="141"/>
      <c r="C647" s="141"/>
      <c r="G647" s="141"/>
      <c r="H647" s="141"/>
      <c r="I647" s="141"/>
    </row>
    <row r="648">
      <c r="B648" s="141"/>
      <c r="C648" s="141"/>
      <c r="G648" s="141"/>
      <c r="H648" s="141"/>
      <c r="I648" s="141"/>
    </row>
    <row r="649">
      <c r="B649" s="141"/>
      <c r="C649" s="141"/>
      <c r="G649" s="141"/>
      <c r="H649" s="141"/>
      <c r="I649" s="141"/>
    </row>
    <row r="650">
      <c r="B650" s="141"/>
      <c r="C650" s="141"/>
      <c r="G650" s="141"/>
      <c r="H650" s="141"/>
      <c r="I650" s="141"/>
    </row>
    <row r="651">
      <c r="B651" s="141"/>
      <c r="C651" s="141"/>
      <c r="G651" s="141"/>
      <c r="H651" s="141"/>
      <c r="I651" s="141"/>
    </row>
    <row r="652">
      <c r="B652" s="141"/>
      <c r="C652" s="141"/>
      <c r="G652" s="141"/>
      <c r="H652" s="141"/>
      <c r="I652" s="141"/>
    </row>
    <row r="653">
      <c r="B653" s="141"/>
      <c r="C653" s="141"/>
      <c r="G653" s="141"/>
      <c r="H653" s="141"/>
      <c r="I653" s="141"/>
    </row>
    <row r="654">
      <c r="B654" s="141"/>
      <c r="C654" s="141"/>
      <c r="G654" s="141"/>
      <c r="H654" s="141"/>
      <c r="I654" s="141"/>
    </row>
    <row r="655">
      <c r="B655" s="141"/>
      <c r="C655" s="141"/>
      <c r="G655" s="141"/>
      <c r="H655" s="141"/>
      <c r="I655" s="141"/>
    </row>
    <row r="656">
      <c r="B656" s="141"/>
      <c r="C656" s="141"/>
      <c r="G656" s="141"/>
      <c r="H656" s="141"/>
      <c r="I656" s="141"/>
    </row>
    <row r="657">
      <c r="B657" s="141"/>
      <c r="C657" s="141"/>
      <c r="G657" s="141"/>
      <c r="H657" s="141"/>
      <c r="I657" s="141"/>
    </row>
    <row r="658">
      <c r="B658" s="141"/>
      <c r="C658" s="141"/>
      <c r="G658" s="141"/>
      <c r="H658" s="141"/>
      <c r="I658" s="141"/>
    </row>
    <row r="659">
      <c r="B659" s="141"/>
      <c r="C659" s="141"/>
      <c r="G659" s="141"/>
      <c r="H659" s="141"/>
      <c r="I659" s="141"/>
    </row>
    <row r="660">
      <c r="B660" s="141"/>
      <c r="C660" s="141"/>
      <c r="G660" s="141"/>
      <c r="H660" s="141"/>
      <c r="I660" s="141"/>
    </row>
    <row r="661">
      <c r="B661" s="141"/>
      <c r="C661" s="141"/>
      <c r="G661" s="141"/>
      <c r="H661" s="141"/>
      <c r="I661" s="141"/>
    </row>
    <row r="662">
      <c r="B662" s="141"/>
      <c r="C662" s="141"/>
      <c r="G662" s="141"/>
      <c r="H662" s="141"/>
      <c r="I662" s="141"/>
    </row>
    <row r="663">
      <c r="B663" s="141"/>
      <c r="C663" s="141"/>
      <c r="G663" s="141"/>
      <c r="H663" s="141"/>
      <c r="I663" s="141"/>
    </row>
    <row r="664">
      <c r="B664" s="141"/>
      <c r="C664" s="141"/>
      <c r="G664" s="141"/>
      <c r="H664" s="141"/>
      <c r="I664" s="141"/>
    </row>
    <row r="665">
      <c r="B665" s="141"/>
      <c r="C665" s="141"/>
      <c r="G665" s="141"/>
      <c r="H665" s="141"/>
      <c r="I665" s="141"/>
    </row>
    <row r="666">
      <c r="B666" s="141"/>
      <c r="C666" s="141"/>
      <c r="G666" s="141"/>
      <c r="H666" s="141"/>
      <c r="I666" s="141"/>
    </row>
    <row r="667">
      <c r="B667" s="141"/>
      <c r="C667" s="141"/>
      <c r="G667" s="141"/>
      <c r="H667" s="141"/>
      <c r="I667" s="141"/>
    </row>
    <row r="668">
      <c r="B668" s="141"/>
      <c r="C668" s="141"/>
      <c r="G668" s="141"/>
      <c r="H668" s="141"/>
      <c r="I668" s="141"/>
    </row>
    <row r="669">
      <c r="B669" s="141"/>
      <c r="C669" s="141"/>
      <c r="G669" s="141"/>
      <c r="H669" s="141"/>
      <c r="I669" s="141"/>
    </row>
    <row r="670">
      <c r="B670" s="141"/>
      <c r="C670" s="141"/>
      <c r="G670" s="141"/>
      <c r="H670" s="141"/>
      <c r="I670" s="141"/>
    </row>
    <row r="671">
      <c r="B671" s="141"/>
      <c r="C671" s="141"/>
      <c r="G671" s="141"/>
      <c r="H671" s="141"/>
      <c r="I671" s="141"/>
    </row>
    <row r="672">
      <c r="B672" s="141"/>
      <c r="C672" s="141"/>
      <c r="G672" s="141"/>
      <c r="H672" s="141"/>
      <c r="I672" s="141"/>
    </row>
    <row r="673">
      <c r="B673" s="141"/>
      <c r="C673" s="141"/>
      <c r="G673" s="141"/>
      <c r="H673" s="141"/>
      <c r="I673" s="141"/>
    </row>
    <row r="674">
      <c r="B674" s="141"/>
      <c r="C674" s="141"/>
      <c r="G674" s="141"/>
      <c r="H674" s="141"/>
      <c r="I674" s="141"/>
    </row>
    <row r="675">
      <c r="B675" s="141"/>
      <c r="C675" s="141"/>
      <c r="G675" s="141"/>
      <c r="H675" s="141"/>
      <c r="I675" s="141"/>
    </row>
    <row r="676">
      <c r="B676" s="141"/>
      <c r="C676" s="141"/>
      <c r="G676" s="141"/>
      <c r="H676" s="141"/>
      <c r="I676" s="141"/>
    </row>
    <row r="677">
      <c r="B677" s="141"/>
      <c r="C677" s="141"/>
      <c r="G677" s="141"/>
      <c r="H677" s="141"/>
      <c r="I677" s="141"/>
    </row>
    <row r="678">
      <c r="B678" s="141"/>
      <c r="C678" s="141"/>
      <c r="G678" s="141"/>
      <c r="H678" s="141"/>
      <c r="I678" s="141"/>
    </row>
    <row r="679">
      <c r="B679" s="141"/>
      <c r="C679" s="141"/>
      <c r="G679" s="141"/>
      <c r="H679" s="141"/>
      <c r="I679" s="141"/>
    </row>
    <row r="680">
      <c r="B680" s="141"/>
      <c r="C680" s="141"/>
      <c r="G680" s="141"/>
      <c r="H680" s="141"/>
      <c r="I680" s="141"/>
    </row>
    <row r="681">
      <c r="B681" s="141"/>
      <c r="C681" s="141"/>
      <c r="G681" s="141"/>
      <c r="H681" s="141"/>
      <c r="I681" s="141"/>
    </row>
    <row r="682">
      <c r="B682" s="141"/>
      <c r="C682" s="141"/>
      <c r="G682" s="141"/>
      <c r="H682" s="141"/>
      <c r="I682" s="141"/>
    </row>
    <row r="683">
      <c r="B683" s="141"/>
      <c r="C683" s="141"/>
      <c r="G683" s="141"/>
      <c r="H683" s="141"/>
      <c r="I683" s="141"/>
    </row>
    <row r="684">
      <c r="B684" s="141"/>
      <c r="C684" s="141"/>
      <c r="G684" s="141"/>
      <c r="H684" s="141"/>
      <c r="I684" s="141"/>
    </row>
    <row r="685">
      <c r="B685" s="141"/>
      <c r="C685" s="141"/>
      <c r="G685" s="141"/>
      <c r="H685" s="141"/>
      <c r="I685" s="141"/>
    </row>
    <row r="686">
      <c r="B686" s="141"/>
      <c r="C686" s="141"/>
      <c r="G686" s="141"/>
      <c r="H686" s="141"/>
      <c r="I686" s="141"/>
    </row>
    <row r="687">
      <c r="B687" s="141"/>
      <c r="C687" s="141"/>
      <c r="G687" s="141"/>
      <c r="H687" s="141"/>
      <c r="I687" s="141"/>
    </row>
    <row r="688">
      <c r="B688" s="141"/>
      <c r="C688" s="141"/>
      <c r="G688" s="141"/>
      <c r="H688" s="141"/>
      <c r="I688" s="141"/>
    </row>
    <row r="689">
      <c r="B689" s="141"/>
      <c r="C689" s="141"/>
      <c r="G689" s="141"/>
      <c r="H689" s="141"/>
      <c r="I689" s="141"/>
    </row>
    <row r="690">
      <c r="B690" s="141"/>
      <c r="C690" s="141"/>
      <c r="G690" s="141"/>
      <c r="H690" s="141"/>
      <c r="I690" s="141"/>
    </row>
    <row r="691">
      <c r="B691" s="141"/>
      <c r="C691" s="141"/>
      <c r="G691" s="141"/>
      <c r="H691" s="141"/>
      <c r="I691" s="141"/>
    </row>
    <row r="692">
      <c r="B692" s="141"/>
      <c r="C692" s="141"/>
      <c r="G692" s="141"/>
      <c r="H692" s="141"/>
      <c r="I692" s="141"/>
    </row>
    <row r="693">
      <c r="B693" s="141"/>
      <c r="C693" s="141"/>
      <c r="G693" s="141"/>
      <c r="H693" s="141"/>
      <c r="I693" s="141"/>
    </row>
    <row r="694">
      <c r="B694" s="141"/>
      <c r="C694" s="141"/>
      <c r="G694" s="141"/>
      <c r="H694" s="141"/>
      <c r="I694" s="141"/>
    </row>
    <row r="695">
      <c r="B695" s="141"/>
      <c r="C695" s="141"/>
      <c r="G695" s="141"/>
      <c r="H695" s="141"/>
      <c r="I695" s="141"/>
    </row>
    <row r="696">
      <c r="B696" s="141"/>
      <c r="C696" s="141"/>
      <c r="G696" s="141"/>
      <c r="H696" s="141"/>
      <c r="I696" s="141"/>
    </row>
    <row r="697">
      <c r="B697" s="141"/>
      <c r="C697" s="141"/>
      <c r="G697" s="141"/>
      <c r="H697" s="141"/>
      <c r="I697" s="141"/>
    </row>
    <row r="698">
      <c r="B698" s="141"/>
      <c r="C698" s="141"/>
      <c r="G698" s="141"/>
      <c r="H698" s="141"/>
      <c r="I698" s="141"/>
    </row>
    <row r="699">
      <c r="B699" s="141"/>
      <c r="C699" s="141"/>
      <c r="G699" s="141"/>
      <c r="H699" s="141"/>
      <c r="I699" s="141"/>
    </row>
    <row r="700">
      <c r="B700" s="141"/>
      <c r="C700" s="141"/>
      <c r="G700" s="141"/>
      <c r="H700" s="141"/>
      <c r="I700" s="141"/>
    </row>
    <row r="701">
      <c r="B701" s="141"/>
      <c r="C701" s="141"/>
      <c r="G701" s="141"/>
      <c r="H701" s="141"/>
      <c r="I701" s="141"/>
    </row>
    <row r="702">
      <c r="B702" s="141"/>
      <c r="C702" s="141"/>
      <c r="G702" s="141"/>
      <c r="H702" s="141"/>
      <c r="I702" s="141"/>
    </row>
    <row r="703">
      <c r="B703" s="141"/>
      <c r="C703" s="141"/>
      <c r="G703" s="141"/>
      <c r="H703" s="141"/>
      <c r="I703" s="141"/>
    </row>
    <row r="704">
      <c r="B704" s="141"/>
      <c r="C704" s="141"/>
      <c r="G704" s="141"/>
      <c r="H704" s="141"/>
      <c r="I704" s="141"/>
    </row>
    <row r="705">
      <c r="B705" s="141"/>
      <c r="C705" s="141"/>
      <c r="G705" s="141"/>
      <c r="H705" s="141"/>
      <c r="I705" s="141"/>
    </row>
    <row r="706">
      <c r="B706" s="141"/>
      <c r="C706" s="141"/>
      <c r="G706" s="141"/>
      <c r="H706" s="141"/>
      <c r="I706" s="141"/>
    </row>
    <row r="707">
      <c r="B707" s="141"/>
      <c r="C707" s="141"/>
      <c r="G707" s="141"/>
      <c r="H707" s="141"/>
      <c r="I707" s="141"/>
    </row>
    <row r="708">
      <c r="B708" s="141"/>
      <c r="C708" s="141"/>
      <c r="G708" s="141"/>
      <c r="H708" s="141"/>
      <c r="I708" s="141"/>
    </row>
    <row r="709">
      <c r="B709" s="141"/>
      <c r="C709" s="141"/>
      <c r="G709" s="141"/>
      <c r="H709" s="141"/>
      <c r="I709" s="141"/>
    </row>
    <row r="710">
      <c r="B710" s="141"/>
      <c r="C710" s="141"/>
      <c r="G710" s="141"/>
      <c r="H710" s="141"/>
      <c r="I710" s="141"/>
    </row>
    <row r="711">
      <c r="B711" s="141"/>
      <c r="C711" s="141"/>
      <c r="G711" s="141"/>
      <c r="H711" s="141"/>
      <c r="I711" s="141"/>
    </row>
    <row r="712">
      <c r="B712" s="141"/>
      <c r="C712" s="141"/>
      <c r="G712" s="141"/>
      <c r="H712" s="141"/>
      <c r="I712" s="141"/>
    </row>
    <row r="713">
      <c r="B713" s="141"/>
      <c r="C713" s="141"/>
      <c r="G713" s="141"/>
      <c r="H713" s="141"/>
      <c r="I713" s="141"/>
    </row>
    <row r="714">
      <c r="B714" s="141"/>
      <c r="C714" s="141"/>
      <c r="G714" s="141"/>
      <c r="H714" s="141"/>
      <c r="I714" s="141"/>
    </row>
    <row r="715">
      <c r="B715" s="141"/>
      <c r="C715" s="141"/>
      <c r="G715" s="141"/>
      <c r="H715" s="141"/>
      <c r="I715" s="141"/>
    </row>
    <row r="716">
      <c r="B716" s="141"/>
      <c r="C716" s="141"/>
      <c r="G716" s="141"/>
      <c r="H716" s="141"/>
      <c r="I716" s="141"/>
    </row>
    <row r="717">
      <c r="B717" s="141"/>
      <c r="C717" s="141"/>
      <c r="G717" s="141"/>
      <c r="H717" s="141"/>
      <c r="I717" s="141"/>
    </row>
    <row r="718">
      <c r="B718" s="141"/>
      <c r="C718" s="141"/>
      <c r="G718" s="141"/>
      <c r="H718" s="141"/>
      <c r="I718" s="141"/>
    </row>
    <row r="719">
      <c r="B719" s="141"/>
      <c r="C719" s="141"/>
      <c r="G719" s="141"/>
      <c r="H719" s="141"/>
      <c r="I719" s="141"/>
    </row>
    <row r="720">
      <c r="B720" s="141"/>
      <c r="C720" s="141"/>
      <c r="G720" s="141"/>
      <c r="H720" s="141"/>
      <c r="I720" s="141"/>
    </row>
    <row r="721">
      <c r="B721" s="141"/>
      <c r="C721" s="141"/>
      <c r="G721" s="141"/>
      <c r="H721" s="141"/>
      <c r="I721" s="141"/>
    </row>
    <row r="722">
      <c r="B722" s="141"/>
      <c r="C722" s="141"/>
      <c r="G722" s="141"/>
      <c r="H722" s="141"/>
      <c r="I722" s="141"/>
    </row>
    <row r="723">
      <c r="B723" s="141"/>
      <c r="C723" s="141"/>
      <c r="G723" s="141"/>
      <c r="H723" s="141"/>
      <c r="I723" s="141"/>
    </row>
    <row r="724">
      <c r="B724" s="141"/>
      <c r="C724" s="141"/>
      <c r="G724" s="141"/>
      <c r="H724" s="141"/>
      <c r="I724" s="141"/>
    </row>
    <row r="725">
      <c r="B725" s="141"/>
      <c r="C725" s="141"/>
      <c r="G725" s="141"/>
      <c r="H725" s="141"/>
      <c r="I725" s="141"/>
    </row>
    <row r="726">
      <c r="B726" s="141"/>
      <c r="C726" s="141"/>
      <c r="G726" s="141"/>
      <c r="H726" s="141"/>
      <c r="I726" s="141"/>
    </row>
    <row r="727">
      <c r="B727" s="141"/>
      <c r="C727" s="141"/>
      <c r="G727" s="141"/>
      <c r="H727" s="141"/>
      <c r="I727" s="141"/>
    </row>
    <row r="728">
      <c r="B728" s="141"/>
      <c r="C728" s="141"/>
      <c r="G728" s="141"/>
      <c r="H728" s="141"/>
      <c r="I728" s="141"/>
    </row>
    <row r="729">
      <c r="B729" s="141"/>
      <c r="C729" s="141"/>
      <c r="G729" s="141"/>
      <c r="H729" s="141"/>
      <c r="I729" s="141"/>
    </row>
    <row r="730">
      <c r="B730" s="141"/>
      <c r="C730" s="141"/>
      <c r="G730" s="141"/>
      <c r="H730" s="141"/>
      <c r="I730" s="141"/>
    </row>
    <row r="731">
      <c r="B731" s="141"/>
      <c r="C731" s="141"/>
      <c r="G731" s="141"/>
      <c r="H731" s="141"/>
      <c r="I731" s="141"/>
    </row>
    <row r="732">
      <c r="B732" s="141"/>
      <c r="C732" s="141"/>
      <c r="G732" s="141"/>
      <c r="H732" s="141"/>
      <c r="I732" s="141"/>
    </row>
    <row r="733">
      <c r="B733" s="141"/>
      <c r="C733" s="141"/>
      <c r="G733" s="141"/>
      <c r="H733" s="141"/>
      <c r="I733" s="141"/>
    </row>
    <row r="734">
      <c r="B734" s="141"/>
      <c r="C734" s="141"/>
      <c r="G734" s="141"/>
      <c r="H734" s="141"/>
      <c r="I734" s="141"/>
    </row>
    <row r="735">
      <c r="B735" s="141"/>
      <c r="C735" s="141"/>
      <c r="G735" s="141"/>
      <c r="H735" s="141"/>
      <c r="I735" s="141"/>
    </row>
    <row r="736">
      <c r="B736" s="141"/>
      <c r="C736" s="141"/>
      <c r="G736" s="141"/>
      <c r="H736" s="141"/>
      <c r="I736" s="141"/>
    </row>
    <row r="737">
      <c r="B737" s="141"/>
      <c r="C737" s="141"/>
      <c r="G737" s="141"/>
      <c r="H737" s="141"/>
      <c r="I737" s="141"/>
    </row>
    <row r="738">
      <c r="B738" s="141"/>
      <c r="C738" s="141"/>
      <c r="G738" s="141"/>
      <c r="H738" s="141"/>
      <c r="I738" s="141"/>
    </row>
    <row r="739">
      <c r="B739" s="141"/>
      <c r="C739" s="141"/>
      <c r="G739" s="141"/>
      <c r="H739" s="141"/>
      <c r="I739" s="141"/>
    </row>
    <row r="740">
      <c r="B740" s="141"/>
      <c r="C740" s="141"/>
      <c r="G740" s="141"/>
      <c r="H740" s="141"/>
      <c r="I740" s="141"/>
    </row>
    <row r="741">
      <c r="B741" s="141"/>
      <c r="C741" s="141"/>
      <c r="G741" s="141"/>
      <c r="H741" s="141"/>
      <c r="I741" s="141"/>
    </row>
    <row r="742">
      <c r="B742" s="141"/>
      <c r="C742" s="141"/>
      <c r="G742" s="141"/>
      <c r="H742" s="141"/>
      <c r="I742" s="141"/>
    </row>
    <row r="743">
      <c r="B743" s="141"/>
      <c r="C743" s="141"/>
      <c r="G743" s="141"/>
      <c r="H743" s="141"/>
      <c r="I743" s="141"/>
    </row>
    <row r="744">
      <c r="B744" s="141"/>
      <c r="C744" s="141"/>
      <c r="G744" s="141"/>
      <c r="H744" s="141"/>
      <c r="I744" s="141"/>
    </row>
    <row r="745">
      <c r="B745" s="141"/>
      <c r="C745" s="141"/>
      <c r="G745" s="141"/>
      <c r="H745" s="141"/>
      <c r="I745" s="141"/>
    </row>
    <row r="746">
      <c r="B746" s="141"/>
      <c r="C746" s="141"/>
      <c r="G746" s="141"/>
      <c r="H746" s="141"/>
      <c r="I746" s="141"/>
    </row>
    <row r="747">
      <c r="B747" s="141"/>
      <c r="C747" s="141"/>
      <c r="G747" s="141"/>
      <c r="H747" s="141"/>
      <c r="I747" s="141"/>
    </row>
    <row r="748">
      <c r="B748" s="141"/>
      <c r="C748" s="141"/>
      <c r="G748" s="141"/>
      <c r="H748" s="141"/>
      <c r="I748" s="141"/>
    </row>
    <row r="749">
      <c r="B749" s="141"/>
      <c r="C749" s="141"/>
      <c r="G749" s="141"/>
      <c r="H749" s="141"/>
      <c r="I749" s="141"/>
    </row>
    <row r="750">
      <c r="B750" s="141"/>
      <c r="C750" s="141"/>
      <c r="G750" s="141"/>
      <c r="H750" s="141"/>
      <c r="I750" s="141"/>
    </row>
    <row r="751">
      <c r="B751" s="141"/>
      <c r="C751" s="141"/>
      <c r="G751" s="141"/>
      <c r="H751" s="141"/>
      <c r="I751" s="141"/>
    </row>
    <row r="752">
      <c r="B752" s="141"/>
      <c r="C752" s="141"/>
      <c r="G752" s="141"/>
      <c r="H752" s="141"/>
      <c r="I752" s="141"/>
    </row>
    <row r="753">
      <c r="B753" s="141"/>
      <c r="C753" s="141"/>
      <c r="G753" s="141"/>
      <c r="H753" s="141"/>
      <c r="I753" s="141"/>
    </row>
    <row r="754">
      <c r="B754" s="141"/>
      <c r="C754" s="141"/>
      <c r="G754" s="141"/>
      <c r="H754" s="141"/>
      <c r="I754" s="141"/>
    </row>
    <row r="755">
      <c r="B755" s="141"/>
      <c r="C755" s="141"/>
      <c r="G755" s="141"/>
      <c r="H755" s="141"/>
      <c r="I755" s="141"/>
    </row>
    <row r="756">
      <c r="B756" s="141"/>
      <c r="C756" s="141"/>
      <c r="G756" s="141"/>
      <c r="H756" s="141"/>
      <c r="I756" s="141"/>
    </row>
    <row r="757">
      <c r="B757" s="141"/>
      <c r="C757" s="141"/>
      <c r="G757" s="141"/>
      <c r="H757" s="141"/>
      <c r="I757" s="141"/>
    </row>
    <row r="758">
      <c r="B758" s="141"/>
      <c r="C758" s="141"/>
      <c r="G758" s="141"/>
      <c r="H758" s="141"/>
      <c r="I758" s="141"/>
    </row>
    <row r="759">
      <c r="B759" s="141"/>
      <c r="C759" s="141"/>
      <c r="G759" s="141"/>
      <c r="H759" s="141"/>
      <c r="I759" s="141"/>
    </row>
    <row r="760">
      <c r="B760" s="141"/>
      <c r="C760" s="141"/>
      <c r="G760" s="141"/>
      <c r="H760" s="141"/>
      <c r="I760" s="141"/>
    </row>
    <row r="761">
      <c r="B761" s="141"/>
      <c r="C761" s="141"/>
      <c r="G761" s="141"/>
      <c r="H761" s="141"/>
      <c r="I761" s="141"/>
    </row>
    <row r="762">
      <c r="B762" s="141"/>
      <c r="C762" s="141"/>
      <c r="G762" s="141"/>
      <c r="H762" s="141"/>
      <c r="I762" s="141"/>
    </row>
    <row r="763">
      <c r="B763" s="141"/>
      <c r="C763" s="141"/>
      <c r="G763" s="141"/>
      <c r="H763" s="141"/>
      <c r="I763" s="141"/>
    </row>
    <row r="764">
      <c r="B764" s="141"/>
      <c r="C764" s="141"/>
      <c r="G764" s="141"/>
      <c r="H764" s="141"/>
      <c r="I764" s="141"/>
    </row>
    <row r="765">
      <c r="B765" s="141"/>
      <c r="C765" s="141"/>
      <c r="G765" s="141"/>
      <c r="H765" s="141"/>
      <c r="I765" s="141"/>
    </row>
    <row r="766">
      <c r="B766" s="141"/>
      <c r="C766" s="141"/>
      <c r="G766" s="141"/>
      <c r="H766" s="141"/>
      <c r="I766" s="141"/>
    </row>
    <row r="767">
      <c r="B767" s="141"/>
      <c r="C767" s="141"/>
      <c r="G767" s="141"/>
      <c r="H767" s="141"/>
      <c r="I767" s="141"/>
    </row>
    <row r="768">
      <c r="B768" s="141"/>
      <c r="C768" s="141"/>
      <c r="G768" s="141"/>
      <c r="H768" s="141"/>
      <c r="I768" s="141"/>
    </row>
    <row r="769">
      <c r="B769" s="141"/>
      <c r="C769" s="141"/>
      <c r="G769" s="141"/>
      <c r="H769" s="141"/>
      <c r="I769" s="141"/>
    </row>
    <row r="770">
      <c r="B770" s="141"/>
      <c r="C770" s="141"/>
      <c r="G770" s="141"/>
      <c r="H770" s="141"/>
      <c r="I770" s="141"/>
    </row>
    <row r="771">
      <c r="B771" s="141"/>
      <c r="C771" s="141"/>
      <c r="G771" s="141"/>
      <c r="H771" s="141"/>
      <c r="I771" s="141"/>
    </row>
    <row r="772">
      <c r="B772" s="141"/>
      <c r="C772" s="141"/>
      <c r="G772" s="141"/>
      <c r="H772" s="141"/>
      <c r="I772" s="141"/>
    </row>
    <row r="773">
      <c r="B773" s="141"/>
      <c r="C773" s="141"/>
      <c r="G773" s="141"/>
      <c r="H773" s="141"/>
      <c r="I773" s="141"/>
    </row>
    <row r="774">
      <c r="B774" s="141"/>
      <c r="C774" s="141"/>
      <c r="G774" s="141"/>
      <c r="H774" s="141"/>
      <c r="I774" s="141"/>
    </row>
    <row r="775">
      <c r="B775" s="141"/>
      <c r="C775" s="141"/>
      <c r="G775" s="141"/>
      <c r="H775" s="141"/>
      <c r="I775" s="141"/>
    </row>
    <row r="776">
      <c r="B776" s="141"/>
      <c r="C776" s="141"/>
      <c r="G776" s="141"/>
      <c r="H776" s="141"/>
      <c r="I776" s="141"/>
    </row>
    <row r="777">
      <c r="B777" s="141"/>
      <c r="C777" s="141"/>
      <c r="G777" s="141"/>
      <c r="H777" s="141"/>
      <c r="I777" s="141"/>
    </row>
    <row r="778">
      <c r="B778" s="141"/>
      <c r="C778" s="141"/>
      <c r="G778" s="141"/>
      <c r="H778" s="141"/>
      <c r="I778" s="141"/>
    </row>
    <row r="779">
      <c r="B779" s="141"/>
      <c r="C779" s="141"/>
      <c r="G779" s="141"/>
      <c r="H779" s="141"/>
      <c r="I779" s="141"/>
    </row>
    <row r="780">
      <c r="B780" s="141"/>
      <c r="C780" s="141"/>
      <c r="G780" s="141"/>
      <c r="H780" s="141"/>
      <c r="I780" s="141"/>
    </row>
    <row r="781">
      <c r="B781" s="141"/>
      <c r="C781" s="141"/>
      <c r="G781" s="141"/>
      <c r="H781" s="141"/>
      <c r="I781" s="141"/>
    </row>
    <row r="782">
      <c r="B782" s="141"/>
      <c r="C782" s="141"/>
      <c r="G782" s="141"/>
      <c r="H782" s="141"/>
      <c r="I782" s="141"/>
    </row>
    <row r="783">
      <c r="B783" s="141"/>
      <c r="C783" s="141"/>
      <c r="G783" s="141"/>
      <c r="H783" s="141"/>
      <c r="I783" s="141"/>
    </row>
    <row r="784">
      <c r="B784" s="141"/>
      <c r="C784" s="141"/>
      <c r="G784" s="141"/>
      <c r="H784" s="141"/>
      <c r="I784" s="141"/>
    </row>
    <row r="785">
      <c r="B785" s="141"/>
      <c r="C785" s="141"/>
      <c r="G785" s="141"/>
      <c r="H785" s="141"/>
      <c r="I785" s="141"/>
    </row>
    <row r="786">
      <c r="B786" s="141"/>
      <c r="C786" s="141"/>
      <c r="G786" s="141"/>
      <c r="H786" s="141"/>
      <c r="I786" s="141"/>
    </row>
    <row r="787">
      <c r="B787" s="141"/>
      <c r="C787" s="141"/>
      <c r="G787" s="141"/>
      <c r="H787" s="141"/>
      <c r="I787" s="141"/>
    </row>
    <row r="788">
      <c r="B788" s="141"/>
      <c r="C788" s="141"/>
      <c r="G788" s="141"/>
      <c r="H788" s="141"/>
      <c r="I788" s="141"/>
    </row>
    <row r="789">
      <c r="B789" s="141"/>
      <c r="C789" s="141"/>
      <c r="G789" s="141"/>
      <c r="H789" s="141"/>
      <c r="I789" s="141"/>
    </row>
    <row r="790">
      <c r="B790" s="141"/>
      <c r="C790" s="141"/>
      <c r="G790" s="141"/>
      <c r="H790" s="141"/>
      <c r="I790" s="141"/>
    </row>
    <row r="791">
      <c r="B791" s="141"/>
      <c r="C791" s="141"/>
      <c r="G791" s="141"/>
      <c r="H791" s="141"/>
      <c r="I791" s="141"/>
    </row>
    <row r="792">
      <c r="B792" s="141"/>
      <c r="C792" s="141"/>
      <c r="G792" s="141"/>
      <c r="H792" s="141"/>
      <c r="I792" s="141"/>
    </row>
    <row r="793">
      <c r="B793" s="141"/>
      <c r="C793" s="141"/>
      <c r="G793" s="141"/>
      <c r="H793" s="141"/>
      <c r="I793" s="141"/>
    </row>
    <row r="794">
      <c r="B794" s="141"/>
      <c r="C794" s="141"/>
      <c r="G794" s="141"/>
      <c r="H794" s="141"/>
      <c r="I794" s="141"/>
    </row>
    <row r="795">
      <c r="B795" s="141"/>
      <c r="C795" s="141"/>
      <c r="G795" s="141"/>
      <c r="H795" s="141"/>
      <c r="I795" s="141"/>
    </row>
    <row r="796">
      <c r="B796" s="141"/>
      <c r="C796" s="141"/>
      <c r="G796" s="141"/>
      <c r="H796" s="141"/>
      <c r="I796" s="141"/>
    </row>
    <row r="797">
      <c r="B797" s="141"/>
      <c r="C797" s="141"/>
      <c r="G797" s="141"/>
      <c r="H797" s="141"/>
      <c r="I797" s="141"/>
    </row>
    <row r="798">
      <c r="B798" s="141"/>
      <c r="C798" s="141"/>
      <c r="G798" s="141"/>
      <c r="H798" s="141"/>
      <c r="I798" s="141"/>
    </row>
    <row r="799">
      <c r="B799" s="141"/>
      <c r="C799" s="141"/>
      <c r="G799" s="141"/>
      <c r="H799" s="141"/>
      <c r="I799" s="141"/>
    </row>
    <row r="800">
      <c r="B800" s="141"/>
      <c r="C800" s="141"/>
      <c r="G800" s="141"/>
      <c r="H800" s="141"/>
      <c r="I800" s="141"/>
    </row>
    <row r="801">
      <c r="B801" s="141"/>
      <c r="C801" s="141"/>
      <c r="G801" s="141"/>
      <c r="H801" s="141"/>
      <c r="I801" s="141"/>
    </row>
    <row r="802">
      <c r="B802" s="141"/>
      <c r="C802" s="141"/>
      <c r="G802" s="141"/>
      <c r="H802" s="141"/>
      <c r="I802" s="141"/>
    </row>
    <row r="803">
      <c r="B803" s="141"/>
      <c r="C803" s="141"/>
      <c r="G803" s="141"/>
      <c r="H803" s="141"/>
      <c r="I803" s="141"/>
    </row>
    <row r="804">
      <c r="B804" s="141"/>
      <c r="C804" s="141"/>
      <c r="G804" s="141"/>
      <c r="H804" s="141"/>
      <c r="I804" s="141"/>
    </row>
    <row r="805">
      <c r="B805" s="141"/>
      <c r="C805" s="141"/>
      <c r="G805" s="141"/>
      <c r="H805" s="141"/>
      <c r="I805" s="141"/>
    </row>
    <row r="806">
      <c r="B806" s="141"/>
      <c r="C806" s="141"/>
      <c r="G806" s="141"/>
      <c r="H806" s="141"/>
      <c r="I806" s="141"/>
    </row>
    <row r="807">
      <c r="B807" s="141"/>
      <c r="C807" s="141"/>
      <c r="G807" s="141"/>
      <c r="H807" s="141"/>
      <c r="I807" s="141"/>
    </row>
    <row r="808">
      <c r="B808" s="141"/>
      <c r="C808" s="141"/>
      <c r="G808" s="141"/>
      <c r="H808" s="141"/>
      <c r="I808" s="141"/>
    </row>
    <row r="809">
      <c r="B809" s="141"/>
      <c r="C809" s="141"/>
      <c r="G809" s="141"/>
      <c r="H809" s="141"/>
      <c r="I809" s="141"/>
    </row>
    <row r="810">
      <c r="B810" s="141"/>
      <c r="C810" s="141"/>
      <c r="G810" s="141"/>
      <c r="H810" s="141"/>
      <c r="I810" s="141"/>
    </row>
    <row r="811">
      <c r="B811" s="141"/>
      <c r="C811" s="141"/>
      <c r="G811" s="141"/>
      <c r="H811" s="141"/>
      <c r="I811" s="141"/>
    </row>
    <row r="812">
      <c r="B812" s="141"/>
      <c r="C812" s="141"/>
      <c r="G812" s="141"/>
      <c r="H812" s="141"/>
      <c r="I812" s="141"/>
    </row>
    <row r="813">
      <c r="B813" s="141"/>
      <c r="C813" s="141"/>
      <c r="G813" s="141"/>
      <c r="H813" s="141"/>
      <c r="I813" s="141"/>
    </row>
    <row r="814">
      <c r="B814" s="141"/>
      <c r="C814" s="141"/>
      <c r="G814" s="141"/>
      <c r="H814" s="141"/>
      <c r="I814" s="141"/>
    </row>
    <row r="815">
      <c r="B815" s="141"/>
      <c r="C815" s="141"/>
      <c r="G815" s="141"/>
      <c r="H815" s="141"/>
      <c r="I815" s="141"/>
    </row>
    <row r="816">
      <c r="B816" s="141"/>
      <c r="C816" s="141"/>
      <c r="G816" s="141"/>
      <c r="H816" s="141"/>
      <c r="I816" s="141"/>
    </row>
    <row r="817">
      <c r="B817" s="141"/>
      <c r="C817" s="141"/>
      <c r="G817" s="141"/>
      <c r="H817" s="141"/>
      <c r="I817" s="141"/>
    </row>
    <row r="818">
      <c r="B818" s="141"/>
      <c r="C818" s="141"/>
      <c r="G818" s="141"/>
      <c r="H818" s="141"/>
      <c r="I818" s="141"/>
    </row>
    <row r="819">
      <c r="B819" s="141"/>
      <c r="C819" s="141"/>
      <c r="G819" s="141"/>
      <c r="H819" s="141"/>
      <c r="I819" s="141"/>
    </row>
    <row r="820">
      <c r="B820" s="141"/>
      <c r="C820" s="141"/>
      <c r="G820" s="141"/>
      <c r="H820" s="141"/>
      <c r="I820" s="141"/>
    </row>
    <row r="821">
      <c r="B821" s="141"/>
      <c r="C821" s="141"/>
      <c r="G821" s="141"/>
      <c r="H821" s="141"/>
      <c r="I821" s="141"/>
    </row>
    <row r="822">
      <c r="B822" s="141"/>
      <c r="C822" s="141"/>
      <c r="G822" s="141"/>
      <c r="H822" s="141"/>
      <c r="I822" s="141"/>
    </row>
    <row r="823">
      <c r="B823" s="141"/>
      <c r="C823" s="141"/>
      <c r="G823" s="141"/>
      <c r="H823" s="141"/>
      <c r="I823" s="141"/>
    </row>
    <row r="824">
      <c r="B824" s="141"/>
      <c r="C824" s="141"/>
      <c r="G824" s="141"/>
      <c r="H824" s="141"/>
      <c r="I824" s="141"/>
    </row>
    <row r="825">
      <c r="B825" s="141"/>
      <c r="C825" s="141"/>
      <c r="G825" s="141"/>
      <c r="H825" s="141"/>
      <c r="I825" s="141"/>
    </row>
    <row r="826">
      <c r="B826" s="141"/>
      <c r="C826" s="141"/>
      <c r="G826" s="141"/>
      <c r="H826" s="141"/>
      <c r="I826" s="141"/>
    </row>
    <row r="827">
      <c r="B827" s="141"/>
      <c r="C827" s="141"/>
      <c r="G827" s="141"/>
      <c r="H827" s="141"/>
      <c r="I827" s="141"/>
    </row>
    <row r="828">
      <c r="B828" s="141"/>
      <c r="C828" s="141"/>
      <c r="G828" s="141"/>
      <c r="H828" s="141"/>
      <c r="I828" s="141"/>
    </row>
    <row r="829">
      <c r="B829" s="141"/>
      <c r="C829" s="141"/>
      <c r="G829" s="141"/>
      <c r="H829" s="141"/>
      <c r="I829" s="141"/>
    </row>
    <row r="830">
      <c r="B830" s="141"/>
      <c r="C830" s="141"/>
      <c r="G830" s="141"/>
      <c r="H830" s="141"/>
      <c r="I830" s="141"/>
    </row>
    <row r="831">
      <c r="B831" s="141"/>
      <c r="C831" s="141"/>
      <c r="G831" s="141"/>
      <c r="H831" s="141"/>
      <c r="I831" s="141"/>
    </row>
    <row r="832">
      <c r="B832" s="141"/>
      <c r="C832" s="141"/>
      <c r="G832" s="141"/>
      <c r="H832" s="141"/>
      <c r="I832" s="141"/>
    </row>
    <row r="833">
      <c r="B833" s="141"/>
      <c r="C833" s="141"/>
      <c r="G833" s="141"/>
      <c r="H833" s="141"/>
      <c r="I833" s="141"/>
    </row>
    <row r="834">
      <c r="B834" s="141"/>
      <c r="C834" s="141"/>
      <c r="G834" s="141"/>
      <c r="H834" s="141"/>
      <c r="I834" s="141"/>
    </row>
    <row r="835">
      <c r="B835" s="141"/>
      <c r="C835" s="141"/>
      <c r="G835" s="141"/>
      <c r="H835" s="141"/>
      <c r="I835" s="141"/>
    </row>
    <row r="836">
      <c r="B836" s="141"/>
      <c r="C836" s="141"/>
      <c r="G836" s="141"/>
      <c r="H836" s="141"/>
      <c r="I836" s="141"/>
    </row>
    <row r="837">
      <c r="B837" s="141"/>
      <c r="C837" s="141"/>
      <c r="G837" s="141"/>
      <c r="H837" s="141"/>
      <c r="I837" s="141"/>
    </row>
    <row r="838">
      <c r="B838" s="141"/>
      <c r="C838" s="141"/>
      <c r="G838" s="141"/>
      <c r="H838" s="141"/>
      <c r="I838" s="141"/>
    </row>
    <row r="839">
      <c r="B839" s="141"/>
      <c r="C839" s="141"/>
      <c r="G839" s="141"/>
      <c r="H839" s="141"/>
      <c r="I839" s="141"/>
    </row>
    <row r="840">
      <c r="B840" s="141"/>
      <c r="C840" s="141"/>
      <c r="G840" s="141"/>
      <c r="H840" s="141"/>
      <c r="I840" s="141"/>
    </row>
    <row r="841">
      <c r="B841" s="141"/>
      <c r="C841" s="141"/>
      <c r="G841" s="141"/>
      <c r="H841" s="141"/>
      <c r="I841" s="141"/>
    </row>
    <row r="842">
      <c r="B842" s="141"/>
      <c r="C842" s="141"/>
      <c r="G842" s="141"/>
      <c r="H842" s="141"/>
      <c r="I842" s="141"/>
    </row>
    <row r="843">
      <c r="B843" s="141"/>
      <c r="C843" s="141"/>
      <c r="G843" s="141"/>
      <c r="H843" s="141"/>
      <c r="I843" s="141"/>
    </row>
    <row r="844">
      <c r="B844" s="141"/>
      <c r="C844" s="141"/>
      <c r="G844" s="141"/>
      <c r="H844" s="141"/>
      <c r="I844" s="141"/>
    </row>
    <row r="845">
      <c r="B845" s="141"/>
      <c r="C845" s="141"/>
      <c r="G845" s="141"/>
      <c r="H845" s="141"/>
      <c r="I845" s="141"/>
    </row>
    <row r="846">
      <c r="B846" s="141"/>
      <c r="C846" s="141"/>
      <c r="G846" s="141"/>
      <c r="H846" s="141"/>
      <c r="I846" s="141"/>
    </row>
    <row r="847">
      <c r="B847" s="141"/>
      <c r="C847" s="141"/>
      <c r="G847" s="141"/>
      <c r="H847" s="141"/>
      <c r="I847" s="141"/>
    </row>
    <row r="848">
      <c r="B848" s="141"/>
      <c r="C848" s="141"/>
      <c r="G848" s="141"/>
      <c r="H848" s="141"/>
      <c r="I848" s="141"/>
    </row>
    <row r="849">
      <c r="B849" s="141"/>
      <c r="C849" s="141"/>
      <c r="G849" s="141"/>
      <c r="H849" s="141"/>
      <c r="I849" s="141"/>
    </row>
    <row r="850">
      <c r="B850" s="141"/>
      <c r="C850" s="141"/>
      <c r="G850" s="141"/>
      <c r="H850" s="141"/>
      <c r="I850" s="141"/>
    </row>
    <row r="851">
      <c r="B851" s="141"/>
      <c r="C851" s="141"/>
      <c r="G851" s="141"/>
      <c r="H851" s="141"/>
      <c r="I851" s="141"/>
    </row>
    <row r="852">
      <c r="B852" s="141"/>
      <c r="C852" s="141"/>
      <c r="G852" s="141"/>
      <c r="H852" s="141"/>
      <c r="I852" s="141"/>
    </row>
    <row r="853">
      <c r="B853" s="141"/>
      <c r="C853" s="141"/>
      <c r="G853" s="141"/>
      <c r="H853" s="141"/>
      <c r="I853" s="141"/>
    </row>
    <row r="854">
      <c r="B854" s="141"/>
      <c r="C854" s="141"/>
      <c r="G854" s="141"/>
      <c r="H854" s="141"/>
      <c r="I854" s="141"/>
    </row>
    <row r="855">
      <c r="B855" s="141"/>
      <c r="C855" s="141"/>
      <c r="G855" s="141"/>
      <c r="H855" s="141"/>
      <c r="I855" s="141"/>
    </row>
    <row r="856">
      <c r="B856" s="141"/>
      <c r="C856" s="141"/>
      <c r="G856" s="141"/>
      <c r="H856" s="141"/>
      <c r="I856" s="141"/>
    </row>
    <row r="857">
      <c r="B857" s="141"/>
      <c r="C857" s="141"/>
      <c r="G857" s="141"/>
      <c r="H857" s="141"/>
      <c r="I857" s="141"/>
    </row>
    <row r="858">
      <c r="B858" s="141"/>
      <c r="C858" s="141"/>
      <c r="G858" s="141"/>
      <c r="H858" s="141"/>
      <c r="I858" s="141"/>
    </row>
    <row r="859">
      <c r="B859" s="141"/>
      <c r="C859" s="141"/>
      <c r="G859" s="141"/>
      <c r="H859" s="141"/>
      <c r="I859" s="141"/>
    </row>
    <row r="860">
      <c r="B860" s="141"/>
      <c r="C860" s="141"/>
      <c r="G860" s="141"/>
      <c r="H860" s="141"/>
      <c r="I860" s="141"/>
    </row>
    <row r="861">
      <c r="B861" s="141"/>
      <c r="C861" s="141"/>
      <c r="G861" s="141"/>
      <c r="H861" s="141"/>
      <c r="I861" s="141"/>
    </row>
    <row r="862">
      <c r="B862" s="141"/>
      <c r="C862" s="141"/>
      <c r="G862" s="141"/>
      <c r="H862" s="141"/>
      <c r="I862" s="141"/>
    </row>
    <row r="863">
      <c r="B863" s="141"/>
      <c r="C863" s="141"/>
      <c r="G863" s="141"/>
      <c r="H863" s="141"/>
      <c r="I863" s="141"/>
    </row>
    <row r="864">
      <c r="B864" s="141"/>
      <c r="C864" s="141"/>
      <c r="G864" s="141"/>
      <c r="H864" s="141"/>
      <c r="I864" s="141"/>
    </row>
    <row r="865">
      <c r="B865" s="141"/>
      <c r="C865" s="141"/>
      <c r="G865" s="141"/>
      <c r="H865" s="141"/>
      <c r="I865" s="141"/>
    </row>
    <row r="866">
      <c r="B866" s="141"/>
      <c r="C866" s="141"/>
      <c r="G866" s="141"/>
      <c r="H866" s="141"/>
      <c r="I866" s="141"/>
    </row>
    <row r="867">
      <c r="B867" s="141"/>
      <c r="C867" s="141"/>
      <c r="G867" s="141"/>
      <c r="H867" s="141"/>
      <c r="I867" s="141"/>
    </row>
    <row r="868">
      <c r="B868" s="141"/>
      <c r="C868" s="141"/>
      <c r="G868" s="141"/>
      <c r="H868" s="141"/>
      <c r="I868" s="141"/>
    </row>
    <row r="869">
      <c r="B869" s="141"/>
      <c r="C869" s="141"/>
      <c r="G869" s="141"/>
      <c r="H869" s="141"/>
      <c r="I869" s="141"/>
    </row>
    <row r="870">
      <c r="B870" s="141"/>
      <c r="C870" s="141"/>
      <c r="G870" s="141"/>
      <c r="H870" s="141"/>
      <c r="I870" s="141"/>
    </row>
    <row r="871">
      <c r="B871" s="141"/>
      <c r="C871" s="141"/>
      <c r="G871" s="141"/>
      <c r="H871" s="141"/>
      <c r="I871" s="141"/>
    </row>
    <row r="872">
      <c r="B872" s="141"/>
      <c r="C872" s="141"/>
      <c r="G872" s="141"/>
      <c r="H872" s="141"/>
      <c r="I872" s="141"/>
    </row>
    <row r="873">
      <c r="B873" s="141"/>
      <c r="C873" s="141"/>
      <c r="G873" s="141"/>
      <c r="H873" s="141"/>
      <c r="I873" s="141"/>
    </row>
    <row r="874">
      <c r="B874" s="141"/>
      <c r="C874" s="141"/>
      <c r="G874" s="141"/>
      <c r="H874" s="141"/>
      <c r="I874" s="141"/>
    </row>
    <row r="875">
      <c r="B875" s="141"/>
      <c r="C875" s="141"/>
      <c r="G875" s="141"/>
      <c r="H875" s="141"/>
      <c r="I875" s="141"/>
    </row>
    <row r="876">
      <c r="B876" s="141"/>
      <c r="C876" s="141"/>
      <c r="G876" s="141"/>
      <c r="H876" s="141"/>
      <c r="I876" s="141"/>
    </row>
    <row r="877">
      <c r="B877" s="141"/>
      <c r="C877" s="141"/>
      <c r="G877" s="141"/>
      <c r="H877" s="141"/>
      <c r="I877" s="141"/>
    </row>
    <row r="878">
      <c r="B878" s="141"/>
      <c r="C878" s="141"/>
      <c r="G878" s="141"/>
      <c r="H878" s="141"/>
      <c r="I878" s="141"/>
    </row>
    <row r="879">
      <c r="B879" s="141"/>
      <c r="C879" s="141"/>
      <c r="G879" s="141"/>
      <c r="H879" s="141"/>
      <c r="I879" s="141"/>
    </row>
    <row r="880">
      <c r="B880" s="141"/>
      <c r="C880" s="141"/>
      <c r="G880" s="141"/>
      <c r="H880" s="141"/>
      <c r="I880" s="141"/>
    </row>
    <row r="881">
      <c r="B881" s="141"/>
      <c r="C881" s="141"/>
      <c r="G881" s="141"/>
      <c r="H881" s="141"/>
      <c r="I881" s="141"/>
    </row>
    <row r="882">
      <c r="B882" s="141"/>
      <c r="C882" s="141"/>
      <c r="G882" s="141"/>
      <c r="H882" s="141"/>
      <c r="I882" s="141"/>
    </row>
    <row r="883">
      <c r="B883" s="141"/>
      <c r="C883" s="141"/>
      <c r="G883" s="141"/>
      <c r="H883" s="141"/>
      <c r="I883" s="141"/>
    </row>
    <row r="884">
      <c r="B884" s="141"/>
      <c r="C884" s="141"/>
      <c r="G884" s="141"/>
      <c r="H884" s="141"/>
      <c r="I884" s="141"/>
    </row>
    <row r="885">
      <c r="B885" s="141"/>
      <c r="C885" s="141"/>
      <c r="G885" s="141"/>
      <c r="H885" s="141"/>
      <c r="I885" s="141"/>
    </row>
    <row r="886">
      <c r="B886" s="141"/>
      <c r="C886" s="141"/>
      <c r="G886" s="141"/>
      <c r="H886" s="141"/>
      <c r="I886" s="141"/>
    </row>
    <row r="887">
      <c r="B887" s="141"/>
      <c r="C887" s="141"/>
      <c r="G887" s="141"/>
      <c r="H887" s="141"/>
      <c r="I887" s="141"/>
    </row>
    <row r="888">
      <c r="B888" s="141"/>
      <c r="C888" s="141"/>
      <c r="G888" s="141"/>
      <c r="H888" s="141"/>
      <c r="I888" s="141"/>
    </row>
    <row r="889">
      <c r="B889" s="141"/>
      <c r="C889" s="141"/>
      <c r="G889" s="141"/>
      <c r="H889" s="141"/>
      <c r="I889" s="141"/>
    </row>
    <row r="890">
      <c r="B890" s="141"/>
      <c r="C890" s="141"/>
      <c r="G890" s="141"/>
      <c r="H890" s="141"/>
      <c r="I890" s="141"/>
    </row>
    <row r="891">
      <c r="B891" s="141"/>
      <c r="C891" s="141"/>
      <c r="G891" s="141"/>
      <c r="H891" s="141"/>
      <c r="I891" s="141"/>
    </row>
    <row r="892">
      <c r="B892" s="141"/>
      <c r="C892" s="141"/>
      <c r="G892" s="141"/>
      <c r="H892" s="141"/>
      <c r="I892" s="141"/>
    </row>
    <row r="893">
      <c r="B893" s="141"/>
      <c r="C893" s="141"/>
      <c r="G893" s="141"/>
      <c r="H893" s="141"/>
      <c r="I893" s="141"/>
    </row>
    <row r="894">
      <c r="B894" s="141"/>
      <c r="C894" s="141"/>
      <c r="G894" s="141"/>
      <c r="H894" s="141"/>
      <c r="I894" s="141"/>
    </row>
    <row r="895">
      <c r="B895" s="141"/>
      <c r="C895" s="141"/>
      <c r="G895" s="141"/>
      <c r="H895" s="141"/>
      <c r="I895" s="141"/>
    </row>
    <row r="896">
      <c r="B896" s="141"/>
      <c r="C896" s="141"/>
      <c r="G896" s="141"/>
      <c r="H896" s="141"/>
      <c r="I896" s="141"/>
    </row>
    <row r="897">
      <c r="B897" s="141"/>
      <c r="C897" s="141"/>
      <c r="G897" s="141"/>
      <c r="H897" s="141"/>
      <c r="I897" s="141"/>
    </row>
    <row r="898">
      <c r="B898" s="141"/>
      <c r="C898" s="141"/>
      <c r="G898" s="141"/>
      <c r="H898" s="141"/>
      <c r="I898" s="141"/>
    </row>
    <row r="899">
      <c r="B899" s="141"/>
      <c r="C899" s="141"/>
      <c r="G899" s="141"/>
      <c r="H899" s="141"/>
      <c r="I899" s="141"/>
    </row>
    <row r="900">
      <c r="B900" s="141"/>
      <c r="C900" s="141"/>
      <c r="G900" s="141"/>
      <c r="H900" s="141"/>
      <c r="I900" s="141"/>
    </row>
    <row r="901">
      <c r="B901" s="141"/>
      <c r="C901" s="141"/>
      <c r="G901" s="141"/>
      <c r="H901" s="141"/>
      <c r="I901" s="141"/>
    </row>
    <row r="902">
      <c r="B902" s="141"/>
      <c r="C902" s="141"/>
      <c r="G902" s="141"/>
      <c r="H902" s="141"/>
      <c r="I902" s="141"/>
    </row>
    <row r="903">
      <c r="B903" s="141"/>
      <c r="C903" s="141"/>
      <c r="G903" s="141"/>
      <c r="H903" s="141"/>
      <c r="I903" s="141"/>
    </row>
    <row r="904">
      <c r="B904" s="141"/>
      <c r="C904" s="141"/>
      <c r="G904" s="141"/>
      <c r="H904" s="141"/>
      <c r="I904" s="141"/>
    </row>
    <row r="905">
      <c r="B905" s="141"/>
      <c r="C905" s="141"/>
      <c r="G905" s="141"/>
      <c r="H905" s="141"/>
      <c r="I905" s="141"/>
    </row>
    <row r="906">
      <c r="B906" s="141"/>
      <c r="C906" s="141"/>
      <c r="G906" s="141"/>
      <c r="H906" s="141"/>
      <c r="I906" s="141"/>
    </row>
    <row r="907">
      <c r="B907" s="141"/>
      <c r="C907" s="141"/>
      <c r="G907" s="141"/>
      <c r="H907" s="141"/>
      <c r="I907" s="141"/>
    </row>
    <row r="908">
      <c r="B908" s="141"/>
      <c r="C908" s="141"/>
      <c r="G908" s="141"/>
      <c r="H908" s="141"/>
      <c r="I908" s="141"/>
    </row>
    <row r="909">
      <c r="B909" s="141"/>
      <c r="C909" s="141"/>
      <c r="G909" s="141"/>
      <c r="H909" s="141"/>
      <c r="I909" s="141"/>
    </row>
    <row r="910">
      <c r="B910" s="141"/>
      <c r="C910" s="141"/>
      <c r="G910" s="141"/>
      <c r="H910" s="141"/>
      <c r="I910" s="141"/>
    </row>
    <row r="911">
      <c r="B911" s="141"/>
      <c r="C911" s="141"/>
      <c r="G911" s="141"/>
      <c r="H911" s="141"/>
      <c r="I911" s="141"/>
    </row>
    <row r="912">
      <c r="B912" s="141"/>
      <c r="C912" s="141"/>
      <c r="G912" s="141"/>
      <c r="H912" s="141"/>
      <c r="I912" s="141"/>
    </row>
    <row r="913">
      <c r="B913" s="141"/>
      <c r="C913" s="141"/>
      <c r="G913" s="141"/>
      <c r="H913" s="141"/>
      <c r="I913" s="141"/>
    </row>
    <row r="914">
      <c r="B914" s="141"/>
      <c r="C914" s="141"/>
      <c r="G914" s="141"/>
      <c r="H914" s="141"/>
      <c r="I914" s="141"/>
    </row>
    <row r="915">
      <c r="B915" s="141"/>
      <c r="C915" s="141"/>
      <c r="G915" s="141"/>
      <c r="H915" s="141"/>
      <c r="I915" s="141"/>
    </row>
    <row r="916">
      <c r="B916" s="141"/>
      <c r="C916" s="141"/>
      <c r="G916" s="141"/>
      <c r="H916" s="141"/>
      <c r="I916" s="141"/>
    </row>
    <row r="917">
      <c r="B917" s="141"/>
      <c r="C917" s="141"/>
      <c r="G917" s="141"/>
      <c r="H917" s="141"/>
      <c r="I917" s="141"/>
    </row>
    <row r="918">
      <c r="B918" s="141"/>
      <c r="C918" s="141"/>
      <c r="G918" s="141"/>
      <c r="H918" s="141"/>
      <c r="I918" s="141"/>
    </row>
    <row r="919">
      <c r="B919" s="141"/>
      <c r="C919" s="141"/>
      <c r="G919" s="141"/>
      <c r="H919" s="141"/>
      <c r="I919" s="141"/>
    </row>
    <row r="920">
      <c r="B920" s="141"/>
      <c r="C920" s="141"/>
      <c r="G920" s="141"/>
      <c r="H920" s="141"/>
      <c r="I920" s="141"/>
    </row>
    <row r="921">
      <c r="B921" s="141"/>
      <c r="C921" s="141"/>
      <c r="G921" s="141"/>
      <c r="H921" s="141"/>
      <c r="I921" s="141"/>
    </row>
    <row r="922">
      <c r="B922" s="141"/>
      <c r="C922" s="141"/>
      <c r="G922" s="141"/>
      <c r="H922" s="141"/>
      <c r="I922" s="141"/>
    </row>
    <row r="923">
      <c r="B923" s="141"/>
      <c r="C923" s="141"/>
      <c r="G923" s="141"/>
      <c r="H923" s="141"/>
      <c r="I923" s="141"/>
    </row>
    <row r="924">
      <c r="B924" s="141"/>
      <c r="C924" s="141"/>
      <c r="G924" s="141"/>
      <c r="H924" s="141"/>
      <c r="I924" s="141"/>
    </row>
    <row r="925">
      <c r="B925" s="141"/>
      <c r="C925" s="141"/>
      <c r="G925" s="141"/>
      <c r="H925" s="141"/>
      <c r="I925" s="141"/>
    </row>
    <row r="926">
      <c r="B926" s="141"/>
      <c r="C926" s="141"/>
      <c r="G926" s="141"/>
      <c r="H926" s="141"/>
      <c r="I926" s="141"/>
    </row>
    <row r="927">
      <c r="B927" s="141"/>
      <c r="C927" s="141"/>
      <c r="G927" s="141"/>
      <c r="H927" s="141"/>
      <c r="I927" s="141"/>
    </row>
    <row r="928">
      <c r="B928" s="141"/>
      <c r="C928" s="141"/>
      <c r="G928" s="141"/>
      <c r="H928" s="141"/>
      <c r="I928" s="141"/>
    </row>
    <row r="929">
      <c r="B929" s="141"/>
      <c r="C929" s="141"/>
      <c r="G929" s="141"/>
      <c r="H929" s="141"/>
      <c r="I929" s="141"/>
    </row>
    <row r="930">
      <c r="B930" s="141"/>
      <c r="C930" s="141"/>
      <c r="G930" s="141"/>
      <c r="H930" s="141"/>
      <c r="I930" s="141"/>
    </row>
    <row r="931">
      <c r="B931" s="141"/>
      <c r="C931" s="141"/>
      <c r="G931" s="141"/>
      <c r="H931" s="141"/>
      <c r="I931" s="141"/>
    </row>
    <row r="932">
      <c r="B932" s="141"/>
      <c r="C932" s="141"/>
      <c r="G932" s="141"/>
      <c r="H932" s="141"/>
      <c r="I932" s="141"/>
    </row>
    <row r="933">
      <c r="B933" s="141"/>
      <c r="C933" s="141"/>
      <c r="G933" s="141"/>
      <c r="H933" s="141"/>
      <c r="I933" s="141"/>
    </row>
    <row r="934">
      <c r="B934" s="141"/>
      <c r="C934" s="141"/>
      <c r="G934" s="141"/>
      <c r="H934" s="141"/>
      <c r="I934" s="141"/>
    </row>
    <row r="935">
      <c r="B935" s="141"/>
      <c r="C935" s="141"/>
      <c r="G935" s="141"/>
      <c r="H935" s="141"/>
      <c r="I935" s="141"/>
    </row>
    <row r="936">
      <c r="B936" s="141"/>
      <c r="C936" s="141"/>
      <c r="G936" s="141"/>
      <c r="H936" s="141"/>
      <c r="I936" s="141"/>
    </row>
    <row r="937">
      <c r="B937" s="141"/>
      <c r="C937" s="141"/>
      <c r="G937" s="141"/>
      <c r="H937" s="141"/>
      <c r="I937" s="141"/>
    </row>
    <row r="938">
      <c r="B938" s="141"/>
      <c r="C938" s="141"/>
      <c r="G938" s="141"/>
      <c r="H938" s="141"/>
      <c r="I938" s="141"/>
    </row>
    <row r="939">
      <c r="B939" s="141"/>
      <c r="C939" s="141"/>
      <c r="G939" s="141"/>
      <c r="H939" s="141"/>
      <c r="I939" s="141"/>
    </row>
    <row r="940">
      <c r="B940" s="141"/>
      <c r="C940" s="141"/>
      <c r="G940" s="141"/>
      <c r="H940" s="141"/>
      <c r="I940" s="141"/>
    </row>
    <row r="941">
      <c r="B941" s="141"/>
      <c r="C941" s="141"/>
      <c r="G941" s="141"/>
      <c r="H941" s="141"/>
      <c r="I941" s="141"/>
    </row>
    <row r="942">
      <c r="B942" s="141"/>
      <c r="C942" s="141"/>
      <c r="G942" s="141"/>
      <c r="H942" s="141"/>
      <c r="I942" s="141"/>
    </row>
    <row r="943">
      <c r="B943" s="141"/>
      <c r="C943" s="141"/>
      <c r="G943" s="141"/>
      <c r="H943" s="141"/>
      <c r="I943" s="141"/>
    </row>
    <row r="944">
      <c r="B944" s="141"/>
      <c r="C944" s="141"/>
      <c r="G944" s="141"/>
      <c r="H944" s="141"/>
      <c r="I944" s="141"/>
    </row>
    <row r="945">
      <c r="B945" s="141"/>
      <c r="C945" s="141"/>
      <c r="G945" s="141"/>
      <c r="H945" s="141"/>
      <c r="I945" s="141"/>
    </row>
    <row r="946">
      <c r="B946" s="141"/>
      <c r="C946" s="141"/>
      <c r="G946" s="141"/>
      <c r="H946" s="141"/>
      <c r="I946" s="141"/>
    </row>
    <row r="947">
      <c r="B947" s="141"/>
      <c r="C947" s="141"/>
      <c r="G947" s="141"/>
      <c r="H947" s="141"/>
      <c r="I947" s="141"/>
    </row>
    <row r="948">
      <c r="B948" s="141"/>
      <c r="C948" s="141"/>
      <c r="G948" s="141"/>
      <c r="H948" s="141"/>
      <c r="I948" s="141"/>
    </row>
    <row r="949">
      <c r="B949" s="141"/>
      <c r="C949" s="141"/>
      <c r="G949" s="141"/>
      <c r="H949" s="141"/>
      <c r="I949" s="141"/>
    </row>
    <row r="950">
      <c r="B950" s="141"/>
      <c r="C950" s="141"/>
      <c r="G950" s="141"/>
      <c r="H950" s="141"/>
      <c r="I950" s="141"/>
    </row>
    <row r="951">
      <c r="B951" s="141"/>
      <c r="C951" s="141"/>
      <c r="G951" s="141"/>
      <c r="H951" s="141"/>
      <c r="I951" s="141"/>
    </row>
    <row r="952">
      <c r="B952" s="141"/>
      <c r="C952" s="141"/>
      <c r="G952" s="141"/>
      <c r="H952" s="141"/>
      <c r="I952" s="141"/>
    </row>
    <row r="953">
      <c r="B953" s="141"/>
      <c r="C953" s="141"/>
      <c r="G953" s="141"/>
      <c r="H953" s="141"/>
      <c r="I953" s="141"/>
    </row>
    <row r="954">
      <c r="B954" s="141"/>
      <c r="C954" s="141"/>
      <c r="G954" s="141"/>
      <c r="H954" s="141"/>
      <c r="I954" s="141"/>
    </row>
    <row r="955">
      <c r="B955" s="141"/>
      <c r="C955" s="141"/>
      <c r="G955" s="141"/>
      <c r="H955" s="141"/>
      <c r="I955" s="141"/>
    </row>
    <row r="956">
      <c r="B956" s="141"/>
      <c r="C956" s="141"/>
      <c r="G956" s="141"/>
      <c r="H956" s="141"/>
      <c r="I956" s="141"/>
    </row>
    <row r="957">
      <c r="B957" s="141"/>
      <c r="C957" s="141"/>
      <c r="G957" s="141"/>
      <c r="H957" s="141"/>
      <c r="I957" s="141"/>
    </row>
    <row r="958">
      <c r="B958" s="141"/>
      <c r="C958" s="141"/>
      <c r="G958" s="141"/>
      <c r="H958" s="141"/>
      <c r="I958" s="141"/>
    </row>
    <row r="959">
      <c r="B959" s="141"/>
      <c r="C959" s="141"/>
      <c r="G959" s="141"/>
      <c r="H959" s="141"/>
      <c r="I959" s="141"/>
    </row>
    <row r="960">
      <c r="B960" s="141"/>
      <c r="C960" s="141"/>
      <c r="G960" s="141"/>
      <c r="H960" s="141"/>
      <c r="I960" s="141"/>
    </row>
    <row r="961">
      <c r="B961" s="141"/>
      <c r="C961" s="141"/>
      <c r="G961" s="141"/>
      <c r="H961" s="141"/>
      <c r="I961" s="141"/>
    </row>
    <row r="962">
      <c r="B962" s="141"/>
      <c r="C962" s="141"/>
      <c r="G962" s="141"/>
      <c r="H962" s="141"/>
      <c r="I962" s="141"/>
    </row>
    <row r="963">
      <c r="B963" s="141"/>
      <c r="C963" s="141"/>
      <c r="G963" s="141"/>
      <c r="H963" s="141"/>
      <c r="I963" s="141"/>
    </row>
    <row r="964">
      <c r="B964" s="141"/>
      <c r="C964" s="141"/>
      <c r="G964" s="141"/>
      <c r="H964" s="141"/>
      <c r="I964" s="141"/>
    </row>
    <row r="965">
      <c r="B965" s="141"/>
      <c r="C965" s="141"/>
      <c r="G965" s="141"/>
      <c r="H965" s="141"/>
      <c r="I965" s="141"/>
    </row>
    <row r="966">
      <c r="B966" s="141"/>
      <c r="C966" s="141"/>
      <c r="G966" s="141"/>
      <c r="H966" s="141"/>
      <c r="I966" s="141"/>
    </row>
    <row r="967">
      <c r="B967" s="141"/>
      <c r="C967" s="141"/>
      <c r="G967" s="141"/>
      <c r="H967" s="141"/>
      <c r="I967" s="141"/>
    </row>
    <row r="968">
      <c r="B968" s="141"/>
      <c r="C968" s="141"/>
      <c r="G968" s="141"/>
      <c r="H968" s="141"/>
      <c r="I968" s="141"/>
    </row>
    <row r="969">
      <c r="B969" s="141"/>
      <c r="C969" s="141"/>
      <c r="G969" s="141"/>
      <c r="H969" s="141"/>
      <c r="I969" s="141"/>
    </row>
    <row r="970">
      <c r="B970" s="141"/>
      <c r="C970" s="141"/>
      <c r="G970" s="141"/>
      <c r="H970" s="141"/>
      <c r="I970" s="141"/>
    </row>
    <row r="971">
      <c r="B971" s="141"/>
      <c r="C971" s="141"/>
      <c r="G971" s="141"/>
      <c r="H971" s="141"/>
      <c r="I971" s="141"/>
    </row>
    <row r="972">
      <c r="B972" s="141"/>
      <c r="C972" s="141"/>
      <c r="G972" s="141"/>
      <c r="H972" s="141"/>
      <c r="I972" s="141"/>
    </row>
    <row r="973">
      <c r="B973" s="141"/>
      <c r="C973" s="141"/>
      <c r="G973" s="141"/>
      <c r="H973" s="141"/>
      <c r="I973" s="141"/>
    </row>
    <row r="974">
      <c r="B974" s="141"/>
      <c r="C974" s="141"/>
      <c r="G974" s="141"/>
      <c r="H974" s="141"/>
      <c r="I974" s="141"/>
    </row>
    <row r="975">
      <c r="B975" s="141"/>
      <c r="C975" s="141"/>
      <c r="G975" s="141"/>
      <c r="H975" s="141"/>
      <c r="I975" s="141"/>
    </row>
    <row r="976">
      <c r="B976" s="141"/>
      <c r="C976" s="141"/>
      <c r="G976" s="141"/>
      <c r="H976" s="141"/>
      <c r="I976" s="141"/>
    </row>
    <row r="977">
      <c r="B977" s="141"/>
      <c r="C977" s="141"/>
      <c r="G977" s="141"/>
      <c r="H977" s="141"/>
      <c r="I977" s="141"/>
    </row>
    <row r="978">
      <c r="B978" s="141"/>
      <c r="C978" s="141"/>
      <c r="G978" s="141"/>
      <c r="H978" s="141"/>
      <c r="I978" s="141"/>
    </row>
    <row r="979">
      <c r="B979" s="141"/>
      <c r="C979" s="141"/>
      <c r="G979" s="141"/>
      <c r="H979" s="141"/>
      <c r="I979" s="141"/>
    </row>
    <row r="980">
      <c r="B980" s="141"/>
      <c r="C980" s="141"/>
      <c r="G980" s="141"/>
      <c r="H980" s="141"/>
      <c r="I980" s="141"/>
    </row>
    <row r="981">
      <c r="B981" s="141"/>
      <c r="C981" s="141"/>
      <c r="G981" s="141"/>
      <c r="H981" s="141"/>
      <c r="I981" s="141"/>
    </row>
    <row r="982">
      <c r="B982" s="141"/>
      <c r="C982" s="141"/>
      <c r="G982" s="141"/>
      <c r="H982" s="141"/>
      <c r="I982" s="141"/>
    </row>
    <row r="983">
      <c r="B983" s="141"/>
      <c r="C983" s="141"/>
      <c r="G983" s="141"/>
      <c r="H983" s="141"/>
      <c r="I983" s="141"/>
    </row>
    <row r="984">
      <c r="B984" s="141"/>
      <c r="C984" s="141"/>
      <c r="G984" s="141"/>
      <c r="H984" s="141"/>
      <c r="I984" s="141"/>
    </row>
    <row r="985">
      <c r="B985" s="141"/>
      <c r="C985" s="141"/>
      <c r="G985" s="141"/>
      <c r="H985" s="141"/>
      <c r="I985" s="141"/>
    </row>
    <row r="986">
      <c r="B986" s="141"/>
      <c r="C986" s="141"/>
      <c r="G986" s="141"/>
      <c r="H986" s="141"/>
      <c r="I986" s="141"/>
    </row>
    <row r="987">
      <c r="B987" s="141"/>
      <c r="C987" s="141"/>
      <c r="G987" s="141"/>
      <c r="H987" s="141"/>
      <c r="I987" s="141"/>
    </row>
    <row r="988">
      <c r="B988" s="141"/>
      <c r="C988" s="141"/>
      <c r="G988" s="141"/>
      <c r="H988" s="141"/>
      <c r="I988" s="141"/>
    </row>
    <row r="989">
      <c r="B989" s="141"/>
      <c r="C989" s="141"/>
      <c r="G989" s="141"/>
      <c r="H989" s="141"/>
      <c r="I989" s="141"/>
    </row>
    <row r="990">
      <c r="B990" s="141"/>
      <c r="C990" s="141"/>
      <c r="G990" s="141"/>
      <c r="H990" s="141"/>
      <c r="I990" s="141"/>
    </row>
    <row r="991">
      <c r="B991" s="141"/>
      <c r="C991" s="141"/>
      <c r="G991" s="141"/>
      <c r="H991" s="141"/>
      <c r="I991" s="141"/>
    </row>
    <row r="992">
      <c r="B992" s="141"/>
      <c r="C992" s="141"/>
      <c r="G992" s="141"/>
      <c r="H992" s="141"/>
      <c r="I992" s="141"/>
    </row>
    <row r="993">
      <c r="B993" s="141"/>
      <c r="C993" s="141"/>
      <c r="G993" s="141"/>
      <c r="H993" s="141"/>
      <c r="I993" s="141"/>
    </row>
    <row r="994">
      <c r="B994" s="141"/>
      <c r="C994" s="141"/>
      <c r="G994" s="141"/>
      <c r="H994" s="141"/>
      <c r="I994" s="141"/>
    </row>
    <row r="995">
      <c r="B995" s="141"/>
      <c r="C995" s="141"/>
      <c r="G995" s="141"/>
      <c r="H995" s="141"/>
      <c r="I995" s="141"/>
    </row>
    <row r="996">
      <c r="B996" s="141"/>
      <c r="C996" s="141"/>
      <c r="G996" s="141"/>
      <c r="H996" s="141"/>
      <c r="I996" s="141"/>
    </row>
    <row r="997">
      <c r="B997" s="141"/>
      <c r="C997" s="141"/>
      <c r="G997" s="141"/>
      <c r="H997" s="141"/>
      <c r="I997" s="141"/>
    </row>
    <row r="998">
      <c r="B998" s="141"/>
      <c r="C998" s="141"/>
      <c r="G998" s="141"/>
      <c r="H998" s="141"/>
      <c r="I998" s="141"/>
    </row>
    <row r="999">
      <c r="B999" s="141"/>
      <c r="C999" s="141"/>
      <c r="G999" s="141"/>
      <c r="H999" s="141"/>
      <c r="I999" s="141"/>
    </row>
    <row r="1000">
      <c r="B1000" s="141"/>
      <c r="C1000" s="141"/>
      <c r="G1000" s="141"/>
      <c r="H1000" s="141"/>
      <c r="I1000" s="141"/>
    </row>
  </sheetData>
  <autoFilter ref="$A$1:$N$127"/>
  <dataValidations>
    <dataValidation type="list" allowBlank="1" sqref="F2:G127 G128:G1000">
      <formula1>'_document type values'!$A:$A</formula1>
    </dataValidation>
  </dataValidations>
  <hyperlinks>
    <hyperlink r:id="rId1" ref="K2"/>
    <hyperlink r:id="rId2" ref="K3"/>
    <hyperlink r:id="rId3" ref="J4"/>
    <hyperlink r:id="rId4" ref="K4"/>
    <hyperlink r:id="rId5" ref="K5"/>
    <hyperlink r:id="rId6" ref="K6"/>
    <hyperlink r:id="rId7" ref="K7"/>
    <hyperlink r:id="rId8" ref="K8"/>
    <hyperlink r:id="rId9" ref="K9"/>
    <hyperlink r:id="rId10" ref="K10"/>
    <hyperlink r:id="rId11" ref="K11"/>
    <hyperlink r:id="rId12" ref="K12"/>
    <hyperlink r:id="rId13" ref="K13"/>
    <hyperlink r:id="rId14" ref="K14"/>
    <hyperlink r:id="rId15" ref="K15"/>
    <hyperlink r:id="rId16" ref="K16"/>
    <hyperlink r:id="rId17" ref="K17"/>
    <hyperlink r:id="rId18" ref="K18"/>
    <hyperlink r:id="rId19" ref="K19"/>
    <hyperlink r:id="rId20" ref="K20"/>
    <hyperlink r:id="rId21" ref="K21"/>
    <hyperlink r:id="rId22" ref="K22"/>
    <hyperlink r:id="rId23" ref="K23"/>
    <hyperlink r:id="rId24" ref="K24"/>
    <hyperlink r:id="rId25" ref="K25"/>
    <hyperlink r:id="rId26" ref="K26"/>
    <hyperlink r:id="rId27" ref="K27"/>
    <hyperlink r:id="rId28" ref="K28"/>
    <hyperlink r:id="rId29" ref="K29"/>
    <hyperlink r:id="rId30" ref="K30"/>
    <hyperlink r:id="rId31" ref="J31"/>
    <hyperlink r:id="rId32" ref="K31"/>
    <hyperlink r:id="rId33" ref="J32"/>
    <hyperlink r:id="rId34" ref="K32"/>
    <hyperlink r:id="rId35" ref="J33"/>
    <hyperlink r:id="rId36" ref="K33"/>
    <hyperlink r:id="rId37" ref="K34"/>
    <hyperlink r:id="rId38" ref="J35"/>
    <hyperlink r:id="rId39" ref="K35"/>
    <hyperlink r:id="rId40" ref="K36"/>
    <hyperlink r:id="rId41" ref="K37"/>
    <hyperlink r:id="rId42" ref="J38"/>
    <hyperlink r:id="rId43" ref="K38"/>
    <hyperlink r:id="rId44" ref="J39"/>
    <hyperlink r:id="rId45" ref="K39"/>
    <hyperlink r:id="rId46" ref="K40"/>
    <hyperlink r:id="rId47" ref="K41"/>
    <hyperlink r:id="rId48" ref="J42"/>
    <hyperlink r:id="rId49" ref="K42"/>
    <hyperlink r:id="rId50" ref="J43"/>
    <hyperlink r:id="rId51" ref="K43"/>
    <hyperlink r:id="rId52" ref="K44"/>
    <hyperlink r:id="rId53" ref="J45"/>
    <hyperlink r:id="rId54" ref="K45"/>
    <hyperlink r:id="rId55" ref="J46"/>
    <hyperlink r:id="rId56" ref="K46"/>
    <hyperlink r:id="rId57" ref="K47"/>
    <hyperlink r:id="rId58" ref="K48"/>
    <hyperlink r:id="rId59" ref="K49"/>
    <hyperlink r:id="rId60" ref="K50"/>
    <hyperlink r:id="rId61" ref="K51"/>
    <hyperlink r:id="rId62" ref="K52"/>
    <hyperlink r:id="rId63" ref="K53"/>
    <hyperlink r:id="rId64" ref="K54"/>
    <hyperlink r:id="rId65" ref="K55"/>
    <hyperlink r:id="rId66" ref="K56"/>
    <hyperlink r:id="rId67" location="__bgbl__%2F%2F*%5B%40attr_id%3D%27bgbl119s2513.pdf%27%5D__1585596608255|de" ref="J57"/>
    <hyperlink r:id="rId68" location="__bgbl__%2F%2F*%5B%40attr_id%3D%27bgbl119s2513.pdf%27%5D__1585596608255" ref="K57"/>
    <hyperlink r:id="rId69" ref="K58"/>
    <hyperlink r:id="rId70" ref="K59"/>
    <hyperlink r:id="rId71" ref="K60"/>
    <hyperlink r:id="rId72" ref="K61"/>
    <hyperlink r:id="rId73" ref="K62"/>
    <hyperlink r:id="rId74" ref="K63"/>
    <hyperlink r:id="rId75" ref="K64"/>
    <hyperlink r:id="rId76" ref="K65"/>
    <hyperlink r:id="rId77" ref="K66"/>
    <hyperlink r:id="rId78" ref="K67"/>
    <hyperlink r:id="rId79" ref="J68"/>
    <hyperlink r:id="rId80" ref="K68"/>
    <hyperlink r:id="rId81" ref="K69"/>
    <hyperlink r:id="rId82" ref="K70"/>
    <hyperlink r:id="rId83" ref="K71"/>
    <hyperlink r:id="rId84" ref="K72"/>
    <hyperlink r:id="rId85" ref="K73"/>
    <hyperlink r:id="rId86" ref="K74"/>
    <hyperlink r:id="rId87" ref="K75"/>
    <hyperlink r:id="rId88" ref="K76"/>
    <hyperlink r:id="rId89" ref="K77"/>
    <hyperlink r:id="rId90" ref="J78"/>
    <hyperlink r:id="rId91" ref="K78"/>
    <hyperlink r:id="rId92" ref="K79"/>
    <hyperlink r:id="rId93" ref="K80"/>
    <hyperlink r:id="rId94" ref="K81"/>
    <hyperlink r:id="rId95" ref="J82"/>
    <hyperlink r:id="rId96" ref="K82"/>
    <hyperlink r:id="rId97" ref="K83"/>
    <hyperlink r:id="rId98" ref="K84"/>
    <hyperlink r:id="rId99" ref="K85"/>
    <hyperlink r:id="rId100" ref="K86"/>
    <hyperlink r:id="rId101" ref="K87"/>
    <hyperlink r:id="rId102" ref="K88"/>
    <hyperlink r:id="rId103" ref="K89"/>
    <hyperlink r:id="rId104" ref="K90"/>
    <hyperlink r:id="rId105" ref="K91"/>
    <hyperlink r:id="rId106" ref="K92"/>
    <hyperlink r:id="rId107" ref="K93"/>
    <hyperlink r:id="rId108" ref="K94"/>
    <hyperlink r:id="rId109" ref="K95"/>
    <hyperlink r:id="rId110" ref="K96"/>
    <hyperlink r:id="rId111" ref="K97"/>
    <hyperlink r:id="rId112" ref="K98"/>
    <hyperlink r:id="rId113" ref="K99"/>
    <hyperlink r:id="rId114" ref="K100"/>
    <hyperlink r:id="rId115" ref="K101"/>
    <hyperlink r:id="rId116" ref="J102"/>
    <hyperlink r:id="rId117" ref="K102"/>
    <hyperlink r:id="rId118" ref="K103"/>
    <hyperlink r:id="rId119" ref="K104"/>
    <hyperlink r:id="rId120" ref="K105"/>
    <hyperlink r:id="rId121" ref="K106"/>
    <hyperlink r:id="rId122" ref="K107"/>
    <hyperlink r:id="rId123" ref="K108"/>
    <hyperlink r:id="rId124" ref="K109"/>
    <hyperlink r:id="rId125" ref="K110"/>
    <hyperlink r:id="rId126" ref="K111"/>
    <hyperlink r:id="rId127" ref="K112"/>
    <hyperlink r:id="rId128" ref="K113"/>
    <hyperlink r:id="rId129" ref="K114"/>
    <hyperlink r:id="rId130" ref="K115"/>
    <hyperlink r:id="rId131" ref="K116"/>
    <hyperlink r:id="rId132" ref="K117"/>
    <hyperlink r:id="rId133" ref="K118"/>
    <hyperlink r:id="rId134" ref="K119"/>
    <hyperlink r:id="rId135" ref="K120"/>
    <hyperlink r:id="rId136" ref="K121"/>
    <hyperlink r:id="rId137" ref="K122"/>
    <hyperlink r:id="rId138" ref="K123"/>
    <hyperlink r:id="rId139" location="page=2|en" ref="J124"/>
    <hyperlink r:id="rId140" location="page=2" ref="K124"/>
    <hyperlink r:id="rId141" ref="K125"/>
    <hyperlink r:id="rId142" ref="K126"/>
    <hyperlink r:id="rId143" ref="K127"/>
  </hyperlinks>
  <drawing r:id="rId14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customWidth="1" min="13" max="13" width="54.63"/>
    <col customWidth="1" min="14" max="14" width="13.88"/>
    <col customWidth="1" min="15" max="15" width="14.63"/>
    <col customWidth="1" min="16" max="16" width="702.38"/>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26" t="s">
        <v>8</v>
      </c>
      <c r="P1" s="26" t="s">
        <v>9</v>
      </c>
      <c r="Q1" s="27"/>
      <c r="R1" s="27"/>
      <c r="S1" s="27"/>
      <c r="T1" s="27"/>
      <c r="U1" s="27"/>
      <c r="V1" s="27"/>
      <c r="W1" s="27"/>
      <c r="X1" s="27"/>
      <c r="Y1" s="27"/>
      <c r="Z1" s="27"/>
      <c r="AA1" s="27"/>
      <c r="AB1" s="27"/>
    </row>
    <row r="2" ht="16.5" customHeight="1">
      <c r="A2" s="154">
        <v>1234.0</v>
      </c>
      <c r="B2" s="155" t="s">
        <v>1721</v>
      </c>
      <c r="C2" s="155" t="s">
        <v>432</v>
      </c>
      <c r="D2" s="155" t="s">
        <v>1324</v>
      </c>
      <c r="E2" s="155" t="s">
        <v>1325</v>
      </c>
      <c r="F2" s="113"/>
      <c r="G2" s="155" t="s">
        <v>441</v>
      </c>
      <c r="H2" s="155" t="s">
        <v>573</v>
      </c>
      <c r="I2" s="155" t="s">
        <v>407</v>
      </c>
      <c r="J2" s="113"/>
      <c r="K2" s="155" t="s">
        <v>476</v>
      </c>
      <c r="L2" s="155" t="s">
        <v>476</v>
      </c>
      <c r="M2" s="155" t="s">
        <v>1722</v>
      </c>
      <c r="N2" s="155"/>
      <c r="O2" s="155"/>
      <c r="P2" s="155" t="s">
        <v>1723</v>
      </c>
      <c r="Q2" s="113"/>
      <c r="R2" s="113"/>
      <c r="S2" s="113"/>
      <c r="T2" s="113"/>
      <c r="U2" s="113"/>
      <c r="V2" s="113"/>
      <c r="W2" s="113"/>
      <c r="X2" s="113"/>
      <c r="Y2" s="113"/>
      <c r="Z2" s="113"/>
      <c r="AA2" s="113"/>
      <c r="AB2" s="113"/>
    </row>
    <row r="3">
      <c r="A3" s="28">
        <v>8588.0</v>
      </c>
      <c r="B3" s="29" t="s">
        <v>1724</v>
      </c>
      <c r="C3" s="29" t="s">
        <v>449</v>
      </c>
      <c r="D3" s="29" t="s">
        <v>1324</v>
      </c>
      <c r="E3" s="29" t="s">
        <v>1325</v>
      </c>
      <c r="F3" s="30"/>
      <c r="G3" s="29" t="s">
        <v>441</v>
      </c>
      <c r="H3" s="29" t="s">
        <v>1725</v>
      </c>
      <c r="I3" s="29" t="s">
        <v>41</v>
      </c>
      <c r="J3" s="30"/>
      <c r="K3" s="29" t="s">
        <v>1726</v>
      </c>
      <c r="L3" s="29" t="s">
        <v>1727</v>
      </c>
      <c r="M3" s="29" t="s">
        <v>1728</v>
      </c>
      <c r="N3" s="29"/>
      <c r="O3" s="29"/>
      <c r="P3" s="29" t="s">
        <v>1729</v>
      </c>
    </row>
    <row r="4">
      <c r="A4" s="28">
        <v>8684.0</v>
      </c>
      <c r="B4" s="29" t="s">
        <v>1730</v>
      </c>
      <c r="C4" s="29" t="s">
        <v>432</v>
      </c>
      <c r="D4" s="29" t="s">
        <v>1324</v>
      </c>
      <c r="E4" s="29" t="s">
        <v>1325</v>
      </c>
      <c r="F4" s="30"/>
      <c r="G4" s="29" t="s">
        <v>441</v>
      </c>
      <c r="H4" s="29" t="s">
        <v>634</v>
      </c>
      <c r="I4" s="29" t="s">
        <v>234</v>
      </c>
      <c r="J4" s="30"/>
      <c r="K4" s="29" t="s">
        <v>1731</v>
      </c>
      <c r="L4" s="29" t="s">
        <v>621</v>
      </c>
      <c r="M4" s="29" t="s">
        <v>1732</v>
      </c>
      <c r="N4" s="29"/>
      <c r="O4" s="29"/>
      <c r="P4" s="29" t="s">
        <v>1733</v>
      </c>
    </row>
    <row r="5">
      <c r="A5" s="28">
        <v>9342.0</v>
      </c>
      <c r="B5" s="29" t="s">
        <v>1734</v>
      </c>
      <c r="C5" s="29" t="s">
        <v>432</v>
      </c>
      <c r="D5" s="29" t="s">
        <v>1324</v>
      </c>
      <c r="E5" s="29" t="s">
        <v>1325</v>
      </c>
      <c r="F5" s="29" t="s">
        <v>450</v>
      </c>
      <c r="G5" s="29" t="s">
        <v>450</v>
      </c>
      <c r="H5" s="29" t="s">
        <v>1221</v>
      </c>
      <c r="I5" s="29" t="s">
        <v>234</v>
      </c>
      <c r="J5" s="29" t="s">
        <v>1735</v>
      </c>
      <c r="K5" s="29" t="s">
        <v>450</v>
      </c>
      <c r="L5" s="29" t="s">
        <v>1736</v>
      </c>
      <c r="M5" s="29" t="s">
        <v>1737</v>
      </c>
      <c r="N5" s="29"/>
      <c r="O5" s="29"/>
      <c r="P5" s="29" t="s">
        <v>1738</v>
      </c>
    </row>
    <row r="6">
      <c r="A6" s="28">
        <v>9384.0</v>
      </c>
      <c r="B6" s="29" t="s">
        <v>1739</v>
      </c>
      <c r="C6" s="29" t="s">
        <v>432</v>
      </c>
      <c r="D6" s="29" t="s">
        <v>1324</v>
      </c>
      <c r="E6" s="29" t="s">
        <v>1325</v>
      </c>
      <c r="F6" s="30"/>
      <c r="G6" s="29" t="s">
        <v>441</v>
      </c>
      <c r="H6" s="29" t="s">
        <v>1740</v>
      </c>
      <c r="I6" s="29" t="s">
        <v>1741</v>
      </c>
      <c r="J6" s="30"/>
      <c r="K6" s="30"/>
      <c r="L6" s="29" t="s">
        <v>511</v>
      </c>
      <c r="M6" s="29" t="s">
        <v>1742</v>
      </c>
      <c r="N6" s="29"/>
      <c r="O6" s="29"/>
      <c r="P6" s="29" t="s">
        <v>1743</v>
      </c>
    </row>
    <row r="7">
      <c r="A7" s="28">
        <v>9463.0</v>
      </c>
      <c r="B7" s="29" t="s">
        <v>1744</v>
      </c>
      <c r="C7" s="29" t="s">
        <v>432</v>
      </c>
      <c r="D7" s="29" t="s">
        <v>1324</v>
      </c>
      <c r="E7" s="29" t="s">
        <v>1325</v>
      </c>
      <c r="F7" s="30"/>
      <c r="G7" s="29" t="s">
        <v>441</v>
      </c>
      <c r="H7" s="29" t="s">
        <v>1745</v>
      </c>
      <c r="I7" s="29" t="s">
        <v>234</v>
      </c>
      <c r="J7" s="30"/>
      <c r="K7" s="29" t="s">
        <v>1746</v>
      </c>
      <c r="L7" s="29" t="s">
        <v>1747</v>
      </c>
      <c r="M7" s="29" t="s">
        <v>1748</v>
      </c>
      <c r="N7" s="29"/>
      <c r="O7" s="29"/>
      <c r="P7" s="29" t="s">
        <v>1749</v>
      </c>
    </row>
    <row r="8">
      <c r="A8" s="28">
        <v>9474.0</v>
      </c>
      <c r="B8" s="29" t="s">
        <v>1750</v>
      </c>
      <c r="C8" s="29" t="s">
        <v>432</v>
      </c>
      <c r="D8" s="29" t="s">
        <v>1324</v>
      </c>
      <c r="E8" s="29" t="s">
        <v>1325</v>
      </c>
      <c r="F8" s="30"/>
      <c r="G8" s="29" t="s">
        <v>441</v>
      </c>
      <c r="H8" s="29" t="s">
        <v>1751</v>
      </c>
      <c r="I8" s="29" t="s">
        <v>1752</v>
      </c>
      <c r="J8" s="30"/>
      <c r="K8" s="29" t="s">
        <v>1141</v>
      </c>
      <c r="L8" s="29" t="s">
        <v>1753</v>
      </c>
      <c r="M8" s="29" t="s">
        <v>1754</v>
      </c>
      <c r="N8" s="29"/>
      <c r="O8" s="29"/>
      <c r="P8" s="29" t="s">
        <v>1755</v>
      </c>
    </row>
    <row r="9">
      <c r="A9" s="28">
        <v>9632.0</v>
      </c>
      <c r="B9" s="29" t="s">
        <v>1756</v>
      </c>
      <c r="C9" s="29" t="s">
        <v>432</v>
      </c>
      <c r="D9" s="29" t="s">
        <v>1324</v>
      </c>
      <c r="E9" s="29" t="s">
        <v>1325</v>
      </c>
      <c r="F9" s="30"/>
      <c r="G9" s="29" t="s">
        <v>433</v>
      </c>
      <c r="H9" s="29" t="s">
        <v>1757</v>
      </c>
      <c r="I9" s="29" t="s">
        <v>234</v>
      </c>
      <c r="J9" s="30"/>
      <c r="K9" s="29" t="s">
        <v>1758</v>
      </c>
      <c r="L9" s="29" t="s">
        <v>1759</v>
      </c>
      <c r="M9" s="29" t="s">
        <v>1760</v>
      </c>
      <c r="N9" s="29"/>
      <c r="O9" s="29"/>
      <c r="P9" s="29" t="s">
        <v>1761</v>
      </c>
    </row>
    <row r="10">
      <c r="A10" s="28">
        <v>9738.0</v>
      </c>
      <c r="B10" s="29" t="s">
        <v>1762</v>
      </c>
      <c r="C10" s="29" t="s">
        <v>449</v>
      </c>
      <c r="D10" s="29" t="s">
        <v>1324</v>
      </c>
      <c r="E10" s="29" t="s">
        <v>1325</v>
      </c>
      <c r="F10" s="30"/>
      <c r="G10" s="29" t="s">
        <v>433</v>
      </c>
      <c r="H10" s="29" t="s">
        <v>634</v>
      </c>
      <c r="I10" s="29" t="s">
        <v>452</v>
      </c>
      <c r="J10" s="30"/>
      <c r="K10" s="29" t="s">
        <v>1763</v>
      </c>
      <c r="L10" s="29" t="s">
        <v>1764</v>
      </c>
      <c r="M10" s="29" t="s">
        <v>1765</v>
      </c>
      <c r="N10" s="29"/>
      <c r="O10" s="29"/>
      <c r="P10" s="29" t="s">
        <v>1766</v>
      </c>
    </row>
    <row r="11">
      <c r="A11" s="28">
        <v>10307.0</v>
      </c>
      <c r="B11" s="29" t="s">
        <v>1767</v>
      </c>
      <c r="C11" s="29" t="s">
        <v>432</v>
      </c>
      <c r="D11" s="29" t="s">
        <v>1324</v>
      </c>
      <c r="E11" s="29" t="s">
        <v>1325</v>
      </c>
      <c r="F11" s="30"/>
      <c r="G11" s="29" t="s">
        <v>433</v>
      </c>
      <c r="H11" s="29" t="s">
        <v>1768</v>
      </c>
      <c r="I11" s="29" t="s">
        <v>144</v>
      </c>
      <c r="J11" s="30"/>
      <c r="K11" s="30"/>
      <c r="L11" s="29" t="s">
        <v>1769</v>
      </c>
      <c r="M11" s="29" t="s">
        <v>1770</v>
      </c>
      <c r="N11" s="29"/>
      <c r="O11" s="29"/>
      <c r="P11" s="29" t="s">
        <v>1771</v>
      </c>
    </row>
    <row r="12">
      <c r="A12" s="28">
        <v>10388.0</v>
      </c>
      <c r="B12" s="29" t="s">
        <v>1772</v>
      </c>
      <c r="C12" s="29" t="s">
        <v>432</v>
      </c>
      <c r="D12" s="29" t="s">
        <v>1324</v>
      </c>
      <c r="E12" s="29" t="s">
        <v>1325</v>
      </c>
      <c r="F12" s="30"/>
      <c r="G12" s="29" t="s">
        <v>441</v>
      </c>
      <c r="H12" s="29" t="s">
        <v>1773</v>
      </c>
      <c r="I12" s="29" t="s">
        <v>1774</v>
      </c>
      <c r="J12" s="30"/>
      <c r="K12" s="29" t="s">
        <v>1775</v>
      </c>
      <c r="L12" s="29" t="s">
        <v>1776</v>
      </c>
      <c r="M12" s="29" t="s">
        <v>1777</v>
      </c>
      <c r="N12" s="29"/>
      <c r="O12" s="29"/>
      <c r="P12" s="29" t="s">
        <v>1778</v>
      </c>
    </row>
    <row r="13">
      <c r="A13" s="28">
        <v>10488.0</v>
      </c>
      <c r="B13" s="29" t="s">
        <v>1779</v>
      </c>
      <c r="C13" s="29" t="s">
        <v>432</v>
      </c>
      <c r="D13" s="29" t="s">
        <v>1324</v>
      </c>
      <c r="E13" s="29" t="s">
        <v>1325</v>
      </c>
      <c r="F13" s="30"/>
      <c r="G13" s="29" t="s">
        <v>441</v>
      </c>
      <c r="H13" s="29" t="s">
        <v>442</v>
      </c>
      <c r="I13" s="29" t="s">
        <v>435</v>
      </c>
      <c r="J13" s="30"/>
      <c r="K13" s="29" t="s">
        <v>1780</v>
      </c>
      <c r="L13" s="29" t="s">
        <v>1781</v>
      </c>
      <c r="M13" s="29" t="s">
        <v>1782</v>
      </c>
      <c r="N13" s="29"/>
      <c r="O13" s="29"/>
      <c r="P13" s="29" t="s">
        <v>1783</v>
      </c>
    </row>
    <row r="14">
      <c r="A14" s="28">
        <v>10499.0</v>
      </c>
      <c r="B14" s="29" t="s">
        <v>1423</v>
      </c>
      <c r="C14" s="29" t="s">
        <v>432</v>
      </c>
      <c r="D14" s="29" t="s">
        <v>1324</v>
      </c>
      <c r="E14" s="29" t="s">
        <v>1325</v>
      </c>
      <c r="F14" s="30"/>
      <c r="G14" s="29" t="s">
        <v>441</v>
      </c>
      <c r="H14" s="29" t="s">
        <v>1784</v>
      </c>
      <c r="I14" s="29" t="s">
        <v>234</v>
      </c>
      <c r="J14" s="30"/>
      <c r="K14" s="29" t="s">
        <v>1785</v>
      </c>
      <c r="L14" s="29" t="s">
        <v>1786</v>
      </c>
      <c r="M14" s="29" t="s">
        <v>576</v>
      </c>
      <c r="N14" s="29"/>
      <c r="O14" s="29"/>
      <c r="P14" s="29" t="s">
        <v>1787</v>
      </c>
    </row>
    <row r="15">
      <c r="A15" s="28">
        <v>10188.0</v>
      </c>
      <c r="B15" s="29" t="s">
        <v>1788</v>
      </c>
      <c r="C15" s="29" t="s">
        <v>432</v>
      </c>
      <c r="D15" s="29" t="s">
        <v>1435</v>
      </c>
      <c r="E15" s="29" t="s">
        <v>1436</v>
      </c>
      <c r="F15" s="30"/>
      <c r="G15" s="29" t="s">
        <v>433</v>
      </c>
      <c r="H15" s="29" t="s">
        <v>671</v>
      </c>
      <c r="I15" s="29" t="s">
        <v>18</v>
      </c>
      <c r="J15" s="30"/>
      <c r="K15" s="30"/>
      <c r="L15" s="29" t="s">
        <v>1789</v>
      </c>
      <c r="M15" s="29" t="s">
        <v>1790</v>
      </c>
      <c r="N15" s="29"/>
      <c r="O15" s="29"/>
      <c r="P15" s="29" t="s">
        <v>1791</v>
      </c>
    </row>
    <row r="16">
      <c r="A16" s="28">
        <v>10377.0</v>
      </c>
      <c r="B16" s="29" t="s">
        <v>1792</v>
      </c>
      <c r="C16" s="29" t="s">
        <v>432</v>
      </c>
      <c r="D16" s="29" t="s">
        <v>1435</v>
      </c>
      <c r="E16" s="29" t="s">
        <v>1436</v>
      </c>
      <c r="F16" s="30"/>
      <c r="G16" s="29" t="s">
        <v>441</v>
      </c>
      <c r="H16" s="29" t="s">
        <v>434</v>
      </c>
      <c r="I16" s="29" t="s">
        <v>1741</v>
      </c>
      <c r="J16" s="30"/>
      <c r="K16" s="30"/>
      <c r="L16" s="29" t="s">
        <v>511</v>
      </c>
      <c r="M16" s="29" t="s">
        <v>1793</v>
      </c>
      <c r="N16" s="29"/>
      <c r="O16" s="29"/>
      <c r="P16" s="29" t="s">
        <v>1794</v>
      </c>
    </row>
    <row r="17">
      <c r="A17" s="28">
        <v>10400.0</v>
      </c>
      <c r="B17" s="29" t="s">
        <v>1795</v>
      </c>
      <c r="C17" s="29" t="s">
        <v>449</v>
      </c>
      <c r="D17" s="29" t="s">
        <v>1435</v>
      </c>
      <c r="E17" s="29" t="s">
        <v>1436</v>
      </c>
      <c r="F17" s="30"/>
      <c r="G17" s="29" t="s">
        <v>441</v>
      </c>
      <c r="H17" s="29" t="s">
        <v>1796</v>
      </c>
      <c r="I17" s="29" t="s">
        <v>45</v>
      </c>
      <c r="J17" s="30"/>
      <c r="K17" s="29" t="s">
        <v>1797</v>
      </c>
      <c r="L17" s="29" t="s">
        <v>489</v>
      </c>
      <c r="M17" s="29" t="s">
        <v>1798</v>
      </c>
      <c r="N17" s="29"/>
      <c r="O17" s="29"/>
      <c r="P17" s="29" t="s">
        <v>1799</v>
      </c>
    </row>
    <row r="18">
      <c r="A18" s="28">
        <v>10413.0</v>
      </c>
      <c r="B18" s="29" t="s">
        <v>1800</v>
      </c>
      <c r="C18" s="29" t="s">
        <v>449</v>
      </c>
      <c r="D18" s="29" t="s">
        <v>1435</v>
      </c>
      <c r="E18" s="29" t="s">
        <v>1436</v>
      </c>
      <c r="F18" s="30"/>
      <c r="G18" s="29" t="s">
        <v>433</v>
      </c>
      <c r="H18" s="29" t="s">
        <v>1801</v>
      </c>
      <c r="I18" s="29" t="s">
        <v>41</v>
      </c>
      <c r="J18" s="30"/>
      <c r="K18" s="30"/>
      <c r="L18" s="29" t="s">
        <v>1802</v>
      </c>
      <c r="M18" s="29" t="s">
        <v>1803</v>
      </c>
      <c r="N18" s="29"/>
      <c r="O18" s="29"/>
      <c r="P18" s="29" t="s">
        <v>1804</v>
      </c>
    </row>
    <row r="19">
      <c r="A19" s="28">
        <v>1251.0</v>
      </c>
      <c r="B19" s="29" t="s">
        <v>1805</v>
      </c>
      <c r="C19" s="29" t="s">
        <v>432</v>
      </c>
      <c r="D19" s="29" t="s">
        <v>1468</v>
      </c>
      <c r="E19" s="29" t="s">
        <v>1469</v>
      </c>
      <c r="F19" s="29" t="s">
        <v>450</v>
      </c>
      <c r="G19" s="29" t="s">
        <v>450</v>
      </c>
      <c r="H19" s="29" t="s">
        <v>1806</v>
      </c>
      <c r="I19" s="29" t="s">
        <v>144</v>
      </c>
      <c r="J19" s="29" t="s">
        <v>1807</v>
      </c>
      <c r="K19" s="29" t="s">
        <v>450</v>
      </c>
      <c r="L19" s="30"/>
      <c r="M19" s="29" t="s">
        <v>1808</v>
      </c>
      <c r="N19" s="29"/>
      <c r="O19" s="29"/>
      <c r="P19" s="29" t="s">
        <v>1809</v>
      </c>
    </row>
    <row r="20">
      <c r="A20" s="28">
        <v>1254.0</v>
      </c>
      <c r="B20" s="29" t="s">
        <v>1810</v>
      </c>
      <c r="C20" s="29" t="s">
        <v>449</v>
      </c>
      <c r="D20" s="29" t="s">
        <v>1468</v>
      </c>
      <c r="E20" s="29" t="s">
        <v>1469</v>
      </c>
      <c r="F20" s="30"/>
      <c r="G20" s="29" t="s">
        <v>441</v>
      </c>
      <c r="H20" s="29" t="s">
        <v>1811</v>
      </c>
      <c r="I20" s="29" t="s">
        <v>41</v>
      </c>
      <c r="J20" s="30"/>
      <c r="K20" s="29" t="s">
        <v>1812</v>
      </c>
      <c r="L20" s="29" t="s">
        <v>489</v>
      </c>
      <c r="M20" s="29" t="s">
        <v>1813</v>
      </c>
      <c r="N20" s="29"/>
      <c r="O20" s="29"/>
      <c r="P20" s="29" t="s">
        <v>1814</v>
      </c>
    </row>
    <row r="21">
      <c r="A21" s="28">
        <v>2072.0</v>
      </c>
      <c r="B21" s="29" t="s">
        <v>1815</v>
      </c>
      <c r="C21" s="29" t="s">
        <v>449</v>
      </c>
      <c r="D21" s="29" t="s">
        <v>1468</v>
      </c>
      <c r="E21" s="29" t="s">
        <v>1469</v>
      </c>
      <c r="F21" s="30"/>
      <c r="G21" s="29" t="s">
        <v>441</v>
      </c>
      <c r="H21" s="29" t="s">
        <v>1816</v>
      </c>
      <c r="I21" s="29" t="s">
        <v>41</v>
      </c>
      <c r="J21" s="30"/>
      <c r="K21" s="29" t="s">
        <v>1817</v>
      </c>
      <c r="L21" s="29" t="s">
        <v>1136</v>
      </c>
      <c r="M21" s="29" t="s">
        <v>1818</v>
      </c>
      <c r="N21" s="29"/>
      <c r="O21" s="29"/>
      <c r="P21" s="29" t="s">
        <v>1819</v>
      </c>
    </row>
    <row r="22">
      <c r="A22" s="28">
        <v>8934.0</v>
      </c>
      <c r="B22" s="29" t="s">
        <v>1489</v>
      </c>
      <c r="C22" s="29" t="s">
        <v>449</v>
      </c>
      <c r="D22" s="29" t="s">
        <v>1468</v>
      </c>
      <c r="E22" s="29" t="s">
        <v>1469</v>
      </c>
      <c r="F22" s="30"/>
      <c r="G22" s="29" t="s">
        <v>441</v>
      </c>
      <c r="H22" s="29" t="s">
        <v>434</v>
      </c>
      <c r="I22" s="29" t="s">
        <v>45</v>
      </c>
      <c r="J22" s="30"/>
      <c r="K22" s="29" t="s">
        <v>537</v>
      </c>
      <c r="L22" s="29" t="s">
        <v>489</v>
      </c>
      <c r="M22" s="29" t="s">
        <v>1820</v>
      </c>
      <c r="N22" s="29"/>
      <c r="O22" s="29"/>
      <c r="P22" s="29" t="s">
        <v>1821</v>
      </c>
    </row>
    <row r="23">
      <c r="A23" s="28">
        <v>9409.0</v>
      </c>
      <c r="B23" s="29" t="s">
        <v>1822</v>
      </c>
      <c r="C23" s="29" t="s">
        <v>449</v>
      </c>
      <c r="D23" s="29" t="s">
        <v>1468</v>
      </c>
      <c r="E23" s="29" t="s">
        <v>1469</v>
      </c>
      <c r="F23" s="29" t="s">
        <v>441</v>
      </c>
      <c r="G23" s="29" t="s">
        <v>441</v>
      </c>
      <c r="H23" s="29" t="s">
        <v>474</v>
      </c>
      <c r="I23" s="29" t="s">
        <v>452</v>
      </c>
      <c r="J23" s="30"/>
      <c r="K23" s="29" t="s">
        <v>1293</v>
      </c>
      <c r="L23" s="30"/>
      <c r="M23" s="29" t="s">
        <v>1823</v>
      </c>
      <c r="N23" s="29"/>
      <c r="O23" s="29"/>
      <c r="P23" s="29" t="s">
        <v>1824</v>
      </c>
    </row>
    <row r="24">
      <c r="A24" s="28">
        <v>9503.0</v>
      </c>
      <c r="B24" s="29" t="s">
        <v>1825</v>
      </c>
      <c r="C24" s="29" t="s">
        <v>432</v>
      </c>
      <c r="D24" s="29" t="s">
        <v>1468</v>
      </c>
      <c r="E24" s="29" t="s">
        <v>1469</v>
      </c>
      <c r="F24" s="30"/>
      <c r="G24" s="29" t="s">
        <v>433</v>
      </c>
      <c r="H24" s="29" t="s">
        <v>1826</v>
      </c>
      <c r="I24" s="29" t="s">
        <v>234</v>
      </c>
      <c r="J24" s="29" t="s">
        <v>1827</v>
      </c>
      <c r="K24" s="29" t="s">
        <v>1828</v>
      </c>
      <c r="L24" s="29" t="s">
        <v>1829</v>
      </c>
      <c r="M24" s="29" t="s">
        <v>1830</v>
      </c>
      <c r="N24" s="29"/>
      <c r="O24" s="29"/>
      <c r="P24" s="29" t="s">
        <v>1831</v>
      </c>
    </row>
    <row r="25">
      <c r="A25" s="28">
        <v>9723.0</v>
      </c>
      <c r="B25" s="29" t="s">
        <v>1832</v>
      </c>
      <c r="C25" s="29" t="s">
        <v>449</v>
      </c>
      <c r="D25" s="29" t="s">
        <v>1468</v>
      </c>
      <c r="E25" s="29" t="s">
        <v>1469</v>
      </c>
      <c r="F25" s="30"/>
      <c r="G25" s="29" t="s">
        <v>441</v>
      </c>
      <c r="H25" s="29" t="s">
        <v>1725</v>
      </c>
      <c r="I25" s="29" t="s">
        <v>45</v>
      </c>
      <c r="J25" s="30"/>
      <c r="K25" s="29" t="s">
        <v>1833</v>
      </c>
      <c r="L25" s="29" t="s">
        <v>1834</v>
      </c>
      <c r="M25" s="29" t="s">
        <v>1835</v>
      </c>
      <c r="N25" s="29"/>
      <c r="O25" s="29"/>
      <c r="P25" s="29" t="s">
        <v>1836</v>
      </c>
    </row>
    <row r="26">
      <c r="A26" s="28">
        <v>10500.0</v>
      </c>
      <c r="B26" s="29" t="s">
        <v>1837</v>
      </c>
      <c r="C26" s="29" t="s">
        <v>432</v>
      </c>
      <c r="D26" s="29" t="s">
        <v>1468</v>
      </c>
      <c r="E26" s="29" t="s">
        <v>1469</v>
      </c>
      <c r="F26" s="30"/>
      <c r="G26" s="29" t="s">
        <v>441</v>
      </c>
      <c r="H26" s="29" t="s">
        <v>1157</v>
      </c>
      <c r="I26" s="29" t="s">
        <v>234</v>
      </c>
      <c r="J26" s="30"/>
      <c r="K26" s="29" t="s">
        <v>1838</v>
      </c>
      <c r="L26" s="29" t="s">
        <v>575</v>
      </c>
      <c r="M26" s="29" t="s">
        <v>576</v>
      </c>
      <c r="N26" s="29"/>
      <c r="O26" s="29"/>
      <c r="P26" s="29" t="s">
        <v>1839</v>
      </c>
    </row>
    <row r="27">
      <c r="A27" s="28">
        <v>1262.0</v>
      </c>
      <c r="B27" s="29" t="s">
        <v>1840</v>
      </c>
      <c r="C27" s="29" t="s">
        <v>432</v>
      </c>
      <c r="D27" s="29" t="s">
        <v>1539</v>
      </c>
      <c r="E27" s="29" t="s">
        <v>1540</v>
      </c>
      <c r="F27" s="30"/>
      <c r="G27" s="29" t="s">
        <v>450</v>
      </c>
      <c r="H27" s="29" t="s">
        <v>634</v>
      </c>
      <c r="I27" s="29" t="s">
        <v>407</v>
      </c>
      <c r="J27" s="30"/>
      <c r="K27" s="29" t="s">
        <v>1841</v>
      </c>
      <c r="L27" s="29" t="s">
        <v>1842</v>
      </c>
      <c r="M27" s="29" t="s">
        <v>1843</v>
      </c>
      <c r="N27" s="29"/>
      <c r="O27" s="29"/>
      <c r="P27" s="29" t="s">
        <v>1844</v>
      </c>
    </row>
    <row r="28">
      <c r="A28" s="28">
        <v>8683.0</v>
      </c>
      <c r="B28" s="29" t="s">
        <v>1845</v>
      </c>
      <c r="C28" s="29" t="s">
        <v>449</v>
      </c>
      <c r="D28" s="29" t="s">
        <v>1547</v>
      </c>
      <c r="E28" s="29" t="s">
        <v>1548</v>
      </c>
      <c r="F28" s="30"/>
      <c r="G28" s="29" t="s">
        <v>441</v>
      </c>
      <c r="H28" s="29" t="s">
        <v>1846</v>
      </c>
      <c r="I28" s="29" t="s">
        <v>41</v>
      </c>
      <c r="J28" s="30"/>
      <c r="K28" s="29" t="s">
        <v>537</v>
      </c>
      <c r="L28" s="29" t="s">
        <v>489</v>
      </c>
      <c r="M28" s="29" t="s">
        <v>1847</v>
      </c>
      <c r="N28" s="29"/>
      <c r="O28" s="29"/>
      <c r="P28" s="29" t="s">
        <v>1848</v>
      </c>
    </row>
    <row r="29">
      <c r="A29" s="28">
        <v>8704.0</v>
      </c>
      <c r="B29" s="29" t="s">
        <v>1849</v>
      </c>
      <c r="C29" s="29" t="s">
        <v>432</v>
      </c>
      <c r="D29" s="29" t="s">
        <v>1547</v>
      </c>
      <c r="E29" s="29" t="s">
        <v>1548</v>
      </c>
      <c r="F29" s="29" t="s">
        <v>450</v>
      </c>
      <c r="G29" s="29" t="s">
        <v>450</v>
      </c>
      <c r="H29" s="29" t="s">
        <v>1850</v>
      </c>
      <c r="I29" s="29" t="s">
        <v>144</v>
      </c>
      <c r="J29" s="29" t="s">
        <v>1851</v>
      </c>
      <c r="K29" s="29" t="s">
        <v>450</v>
      </c>
      <c r="L29" s="29" t="s">
        <v>511</v>
      </c>
      <c r="M29" s="29" t="s">
        <v>1852</v>
      </c>
      <c r="N29" s="29"/>
      <c r="O29" s="29"/>
      <c r="P29" s="29" t="s">
        <v>1853</v>
      </c>
    </row>
    <row r="30">
      <c r="A30" s="28">
        <v>9439.0</v>
      </c>
      <c r="B30" s="29" t="s">
        <v>1854</v>
      </c>
      <c r="C30" s="29" t="s">
        <v>449</v>
      </c>
      <c r="D30" s="29" t="s">
        <v>1547</v>
      </c>
      <c r="E30" s="29" t="s">
        <v>1548</v>
      </c>
      <c r="F30" s="30"/>
      <c r="G30" s="29" t="s">
        <v>441</v>
      </c>
      <c r="H30" s="29" t="s">
        <v>434</v>
      </c>
      <c r="I30" s="29" t="s">
        <v>41</v>
      </c>
      <c r="J30" s="30"/>
      <c r="K30" s="29" t="s">
        <v>1305</v>
      </c>
      <c r="L30" s="29" t="s">
        <v>489</v>
      </c>
      <c r="M30" s="29" t="s">
        <v>1855</v>
      </c>
      <c r="N30" s="29"/>
      <c r="O30" s="29"/>
      <c r="P30" s="29" t="s">
        <v>1856</v>
      </c>
    </row>
    <row r="31">
      <c r="A31" s="28">
        <v>9504.0</v>
      </c>
      <c r="B31" s="29" t="s">
        <v>1857</v>
      </c>
      <c r="C31" s="29" t="s">
        <v>432</v>
      </c>
      <c r="D31" s="29" t="s">
        <v>1547</v>
      </c>
      <c r="E31" s="29" t="s">
        <v>1548</v>
      </c>
      <c r="F31" s="30"/>
      <c r="G31" s="29" t="s">
        <v>433</v>
      </c>
      <c r="H31" s="29" t="s">
        <v>1826</v>
      </c>
      <c r="I31" s="29" t="s">
        <v>234</v>
      </c>
      <c r="J31" s="29" t="s">
        <v>1858</v>
      </c>
      <c r="K31" s="29" t="s">
        <v>1859</v>
      </c>
      <c r="L31" s="29" t="s">
        <v>1860</v>
      </c>
      <c r="M31" s="29" t="s">
        <v>570</v>
      </c>
      <c r="N31" s="29"/>
      <c r="O31" s="29"/>
      <c r="P31" s="29" t="s">
        <v>1861</v>
      </c>
    </row>
    <row r="32">
      <c r="A32" s="28">
        <v>10501.0</v>
      </c>
      <c r="B32" s="29" t="s">
        <v>1572</v>
      </c>
      <c r="C32" s="29" t="s">
        <v>432</v>
      </c>
      <c r="D32" s="29" t="s">
        <v>1547</v>
      </c>
      <c r="E32" s="29" t="s">
        <v>1548</v>
      </c>
      <c r="F32" s="30"/>
      <c r="G32" s="29" t="s">
        <v>441</v>
      </c>
      <c r="H32" s="29" t="s">
        <v>1157</v>
      </c>
      <c r="I32" s="29" t="s">
        <v>234</v>
      </c>
      <c r="J32" s="30"/>
      <c r="K32" s="29" t="s">
        <v>1862</v>
      </c>
      <c r="L32" s="29" t="s">
        <v>1863</v>
      </c>
      <c r="M32" s="29" t="s">
        <v>576</v>
      </c>
      <c r="N32" s="29"/>
      <c r="O32" s="29"/>
      <c r="P32" s="29" t="s">
        <v>1864</v>
      </c>
    </row>
    <row r="33">
      <c r="A33" s="28">
        <v>10244.0</v>
      </c>
      <c r="B33" s="29" t="s">
        <v>1865</v>
      </c>
      <c r="C33" s="29" t="s">
        <v>432</v>
      </c>
      <c r="D33" s="29" t="s">
        <v>1587</v>
      </c>
      <c r="E33" s="29" t="s">
        <v>1588</v>
      </c>
      <c r="F33" s="30"/>
      <c r="G33" s="29" t="s">
        <v>450</v>
      </c>
      <c r="H33" s="29" t="s">
        <v>434</v>
      </c>
      <c r="I33" s="29" t="s">
        <v>234</v>
      </c>
      <c r="J33" s="30"/>
      <c r="K33" s="30"/>
      <c r="L33" s="29" t="s">
        <v>511</v>
      </c>
      <c r="M33" s="29" t="s">
        <v>1866</v>
      </c>
      <c r="N33" s="29"/>
      <c r="O33" s="29"/>
      <c r="P33" s="29" t="s">
        <v>1867</v>
      </c>
    </row>
    <row r="34">
      <c r="A34" s="28">
        <v>4275.0</v>
      </c>
      <c r="B34" s="29" t="s">
        <v>1868</v>
      </c>
      <c r="C34" s="29" t="s">
        <v>449</v>
      </c>
      <c r="D34" s="29" t="s">
        <v>1595</v>
      </c>
      <c r="E34" s="29" t="s">
        <v>1596</v>
      </c>
      <c r="F34" s="29" t="s">
        <v>433</v>
      </c>
      <c r="G34" s="29" t="s">
        <v>450</v>
      </c>
      <c r="H34" s="29" t="s">
        <v>634</v>
      </c>
      <c r="I34" s="29" t="s">
        <v>41</v>
      </c>
      <c r="J34" s="30"/>
      <c r="K34" s="29" t="s">
        <v>1869</v>
      </c>
      <c r="L34" s="30"/>
      <c r="M34" s="29" t="s">
        <v>1870</v>
      </c>
      <c r="N34" s="29"/>
      <c r="O34" s="29"/>
      <c r="P34" s="29" t="s">
        <v>1871</v>
      </c>
    </row>
    <row r="35">
      <c r="A35" s="28">
        <v>10323.0</v>
      </c>
      <c r="B35" s="29" t="s">
        <v>1872</v>
      </c>
      <c r="C35" s="29" t="s">
        <v>432</v>
      </c>
      <c r="D35" s="29" t="s">
        <v>1595</v>
      </c>
      <c r="E35" s="29" t="s">
        <v>1596</v>
      </c>
      <c r="F35" s="30"/>
      <c r="G35" s="29" t="s">
        <v>664</v>
      </c>
      <c r="H35" s="29" t="s">
        <v>1873</v>
      </c>
      <c r="I35" s="29" t="s">
        <v>407</v>
      </c>
      <c r="J35" s="29" t="s">
        <v>1874</v>
      </c>
      <c r="K35" s="29" t="s">
        <v>1875</v>
      </c>
      <c r="L35" s="29" t="s">
        <v>1876</v>
      </c>
      <c r="M35" s="29" t="s">
        <v>1877</v>
      </c>
      <c r="N35" s="29"/>
      <c r="O35" s="29"/>
      <c r="P35" s="29" t="s">
        <v>1878</v>
      </c>
    </row>
    <row r="36">
      <c r="A36" s="28">
        <v>1299.0</v>
      </c>
      <c r="B36" s="29" t="s">
        <v>1879</v>
      </c>
      <c r="C36" s="29" t="s">
        <v>449</v>
      </c>
      <c r="D36" s="29" t="s">
        <v>1609</v>
      </c>
      <c r="E36" s="29" t="s">
        <v>1610</v>
      </c>
      <c r="F36" s="30"/>
      <c r="G36" s="29" t="s">
        <v>450</v>
      </c>
      <c r="H36" s="29" t="s">
        <v>1880</v>
      </c>
      <c r="I36" s="29" t="s">
        <v>41</v>
      </c>
      <c r="J36" s="30"/>
      <c r="K36" s="29" t="s">
        <v>1881</v>
      </c>
      <c r="L36" s="29" t="s">
        <v>593</v>
      </c>
      <c r="M36" s="29" t="s">
        <v>1882</v>
      </c>
      <c r="N36" s="29"/>
      <c r="O36" s="29"/>
      <c r="P36" s="29" t="s">
        <v>1883</v>
      </c>
    </row>
    <row r="37">
      <c r="A37" s="28">
        <v>9505.0</v>
      </c>
      <c r="B37" s="29" t="s">
        <v>1884</v>
      </c>
      <c r="C37" s="29" t="s">
        <v>432</v>
      </c>
      <c r="D37" s="29" t="s">
        <v>1609</v>
      </c>
      <c r="E37" s="29" t="s">
        <v>1610</v>
      </c>
      <c r="F37" s="30"/>
      <c r="G37" s="29" t="s">
        <v>433</v>
      </c>
      <c r="H37" s="29" t="s">
        <v>1816</v>
      </c>
      <c r="I37" s="29" t="s">
        <v>234</v>
      </c>
      <c r="J37" s="30"/>
      <c r="K37" s="29" t="s">
        <v>1885</v>
      </c>
      <c r="L37" s="29" t="s">
        <v>1886</v>
      </c>
      <c r="M37" s="29" t="s">
        <v>1830</v>
      </c>
      <c r="N37" s="29"/>
      <c r="O37" s="29"/>
      <c r="P37" s="29" t="s">
        <v>1887</v>
      </c>
    </row>
    <row r="38">
      <c r="A38" s="28">
        <v>10102.0</v>
      </c>
      <c r="B38" s="29" t="s">
        <v>1888</v>
      </c>
      <c r="C38" s="29" t="s">
        <v>432</v>
      </c>
      <c r="D38" s="29" t="s">
        <v>1609</v>
      </c>
      <c r="E38" s="29" t="s">
        <v>1610</v>
      </c>
      <c r="F38" s="30"/>
      <c r="G38" s="29" t="s">
        <v>441</v>
      </c>
      <c r="H38" s="29" t="s">
        <v>434</v>
      </c>
      <c r="I38" s="29" t="s">
        <v>144</v>
      </c>
      <c r="J38" s="30"/>
      <c r="K38" s="29" t="s">
        <v>620</v>
      </c>
      <c r="L38" s="29" t="s">
        <v>1889</v>
      </c>
      <c r="M38" s="29" t="s">
        <v>1890</v>
      </c>
      <c r="N38" s="29"/>
      <c r="O38" s="29"/>
      <c r="P38" s="29" t="s">
        <v>1891</v>
      </c>
    </row>
    <row r="39">
      <c r="A39" s="28">
        <v>10502.0</v>
      </c>
      <c r="B39" s="29" t="s">
        <v>1892</v>
      </c>
      <c r="C39" s="29" t="s">
        <v>432</v>
      </c>
      <c r="D39" s="29" t="s">
        <v>1609</v>
      </c>
      <c r="E39" s="29" t="s">
        <v>1610</v>
      </c>
      <c r="F39" s="30"/>
      <c r="G39" s="29" t="s">
        <v>441</v>
      </c>
      <c r="H39" s="29" t="s">
        <v>434</v>
      </c>
      <c r="I39" s="29" t="s">
        <v>234</v>
      </c>
      <c r="J39" s="30"/>
      <c r="K39" s="29" t="s">
        <v>574</v>
      </c>
      <c r="L39" s="29" t="s">
        <v>511</v>
      </c>
      <c r="M39" s="29" t="s">
        <v>1893</v>
      </c>
      <c r="N39" s="29"/>
      <c r="O39" s="29"/>
      <c r="P39" s="29" t="s">
        <v>1894</v>
      </c>
    </row>
    <row r="40">
      <c r="A40" s="28">
        <v>4282.0</v>
      </c>
      <c r="B40" s="29" t="s">
        <v>1895</v>
      </c>
      <c r="C40" s="29" t="s">
        <v>432</v>
      </c>
      <c r="D40" s="29" t="s">
        <v>1635</v>
      </c>
      <c r="E40" s="29" t="s">
        <v>1636</v>
      </c>
      <c r="F40" s="30"/>
      <c r="G40" s="29" t="s">
        <v>441</v>
      </c>
      <c r="H40" s="29" t="s">
        <v>434</v>
      </c>
      <c r="I40" s="29" t="s">
        <v>443</v>
      </c>
      <c r="J40" s="30"/>
      <c r="K40" s="29" t="s">
        <v>1293</v>
      </c>
      <c r="L40" s="30"/>
      <c r="M40" s="29" t="s">
        <v>1896</v>
      </c>
      <c r="N40" s="29"/>
      <c r="O40" s="29"/>
      <c r="P40" s="29" t="s">
        <v>1897</v>
      </c>
    </row>
    <row r="41">
      <c r="A41" s="28">
        <v>9416.0</v>
      </c>
      <c r="B41" s="29" t="s">
        <v>1898</v>
      </c>
      <c r="C41" s="29" t="s">
        <v>432</v>
      </c>
      <c r="D41" s="29" t="s">
        <v>1635</v>
      </c>
      <c r="E41" s="29" t="s">
        <v>1636</v>
      </c>
      <c r="F41" s="30"/>
      <c r="G41" s="29" t="s">
        <v>433</v>
      </c>
      <c r="H41" s="29" t="s">
        <v>526</v>
      </c>
      <c r="I41" s="29" t="s">
        <v>686</v>
      </c>
      <c r="J41" s="30"/>
      <c r="K41" s="29" t="s">
        <v>1899</v>
      </c>
      <c r="L41" s="29" t="s">
        <v>1900</v>
      </c>
      <c r="M41" s="29" t="s">
        <v>1901</v>
      </c>
      <c r="N41" s="29"/>
      <c r="O41" s="29"/>
      <c r="P41" s="29" t="s">
        <v>1902</v>
      </c>
    </row>
    <row r="42">
      <c r="A42" s="28">
        <v>1317.0</v>
      </c>
      <c r="B42" s="29" t="s">
        <v>1903</v>
      </c>
      <c r="C42" s="29" t="s">
        <v>432</v>
      </c>
      <c r="D42" s="29" t="s">
        <v>1650</v>
      </c>
      <c r="E42" s="29" t="s">
        <v>1651</v>
      </c>
      <c r="F42" s="30"/>
      <c r="G42" s="29" t="s">
        <v>441</v>
      </c>
      <c r="H42" s="29" t="s">
        <v>434</v>
      </c>
      <c r="I42" s="29" t="s">
        <v>234</v>
      </c>
      <c r="J42" s="30"/>
      <c r="K42" s="29" t="s">
        <v>537</v>
      </c>
      <c r="L42" s="29" t="s">
        <v>593</v>
      </c>
      <c r="M42" s="29" t="s">
        <v>1904</v>
      </c>
      <c r="N42" s="29"/>
      <c r="O42" s="29"/>
      <c r="P42" s="29" t="s">
        <v>1905</v>
      </c>
    </row>
    <row r="43">
      <c r="A43" s="28">
        <v>1318.0</v>
      </c>
      <c r="B43" s="29" t="s">
        <v>1906</v>
      </c>
      <c r="C43" s="29" t="s">
        <v>449</v>
      </c>
      <c r="D43" s="29" t="s">
        <v>1650</v>
      </c>
      <c r="E43" s="29" t="s">
        <v>1651</v>
      </c>
      <c r="F43" s="30"/>
      <c r="G43" s="29" t="s">
        <v>441</v>
      </c>
      <c r="H43" s="29" t="s">
        <v>1907</v>
      </c>
      <c r="I43" s="29" t="s">
        <v>41</v>
      </c>
      <c r="J43" s="30"/>
      <c r="K43" s="29" t="s">
        <v>1908</v>
      </c>
      <c r="L43" s="29" t="s">
        <v>489</v>
      </c>
      <c r="M43" s="29" t="s">
        <v>1909</v>
      </c>
      <c r="N43" s="29"/>
      <c r="O43" s="29"/>
      <c r="P43" s="29" t="s">
        <v>1910</v>
      </c>
    </row>
    <row r="44">
      <c r="A44" s="28">
        <v>1322.0</v>
      </c>
      <c r="B44" s="29" t="s">
        <v>1665</v>
      </c>
      <c r="C44" s="29" t="s">
        <v>432</v>
      </c>
      <c r="D44" s="29" t="s">
        <v>1650</v>
      </c>
      <c r="E44" s="29" t="s">
        <v>1651</v>
      </c>
      <c r="F44" s="30"/>
      <c r="G44" s="29" t="s">
        <v>441</v>
      </c>
      <c r="H44" s="29" t="s">
        <v>573</v>
      </c>
      <c r="I44" s="29" t="s">
        <v>407</v>
      </c>
      <c r="J44" s="30"/>
      <c r="K44" s="29" t="s">
        <v>659</v>
      </c>
      <c r="L44" s="29" t="s">
        <v>489</v>
      </c>
      <c r="M44" s="29" t="s">
        <v>1911</v>
      </c>
      <c r="N44" s="29"/>
      <c r="O44" s="29"/>
      <c r="P44" s="29" t="s">
        <v>1912</v>
      </c>
    </row>
    <row r="45">
      <c r="A45" s="28">
        <v>1323.0</v>
      </c>
      <c r="B45" s="29" t="s">
        <v>1913</v>
      </c>
      <c r="C45" s="29" t="s">
        <v>432</v>
      </c>
      <c r="D45" s="29" t="s">
        <v>1650</v>
      </c>
      <c r="E45" s="29" t="s">
        <v>1651</v>
      </c>
      <c r="F45" s="30"/>
      <c r="G45" s="29" t="s">
        <v>441</v>
      </c>
      <c r="H45" s="29" t="s">
        <v>474</v>
      </c>
      <c r="I45" s="29" t="s">
        <v>407</v>
      </c>
      <c r="J45" s="30"/>
      <c r="K45" s="29" t="s">
        <v>643</v>
      </c>
      <c r="L45" s="29" t="s">
        <v>489</v>
      </c>
      <c r="M45" s="29" t="s">
        <v>1914</v>
      </c>
      <c r="N45" s="29"/>
      <c r="O45" s="29"/>
      <c r="P45" s="29" t="s">
        <v>1915</v>
      </c>
    </row>
    <row r="46">
      <c r="A46" s="28">
        <v>1325.0</v>
      </c>
      <c r="B46" s="29" t="s">
        <v>1916</v>
      </c>
      <c r="C46" s="29" t="s">
        <v>449</v>
      </c>
      <c r="D46" s="29" t="s">
        <v>1650</v>
      </c>
      <c r="E46" s="29" t="s">
        <v>1651</v>
      </c>
      <c r="F46" s="30"/>
      <c r="G46" s="29" t="s">
        <v>441</v>
      </c>
      <c r="H46" s="29" t="s">
        <v>526</v>
      </c>
      <c r="I46" s="29" t="s">
        <v>41</v>
      </c>
      <c r="J46" s="30"/>
      <c r="K46" s="29" t="s">
        <v>476</v>
      </c>
      <c r="L46" s="29" t="s">
        <v>1189</v>
      </c>
      <c r="M46" s="29" t="s">
        <v>1917</v>
      </c>
      <c r="N46" s="29"/>
      <c r="O46" s="29"/>
      <c r="P46" s="29" t="s">
        <v>1918</v>
      </c>
    </row>
    <row r="47">
      <c r="A47" s="28">
        <v>1327.0</v>
      </c>
      <c r="B47" s="29" t="s">
        <v>1919</v>
      </c>
      <c r="C47" s="29" t="s">
        <v>449</v>
      </c>
      <c r="D47" s="29" t="s">
        <v>1650</v>
      </c>
      <c r="E47" s="29" t="s">
        <v>1651</v>
      </c>
      <c r="F47" s="30"/>
      <c r="G47" s="29" t="s">
        <v>441</v>
      </c>
      <c r="H47" s="29" t="s">
        <v>658</v>
      </c>
      <c r="I47" s="29" t="s">
        <v>41</v>
      </c>
      <c r="J47" s="30"/>
      <c r="K47" s="29" t="s">
        <v>542</v>
      </c>
      <c r="L47" s="29" t="s">
        <v>538</v>
      </c>
      <c r="M47" s="29" t="s">
        <v>1920</v>
      </c>
      <c r="N47" s="29"/>
      <c r="O47" s="29"/>
      <c r="P47" s="29" t="s">
        <v>1921</v>
      </c>
    </row>
    <row r="48">
      <c r="A48" s="28">
        <v>9217.0</v>
      </c>
      <c r="B48" s="29" t="s">
        <v>1922</v>
      </c>
      <c r="C48" s="29" t="s">
        <v>432</v>
      </c>
      <c r="D48" s="29" t="s">
        <v>1650</v>
      </c>
      <c r="E48" s="29" t="s">
        <v>1651</v>
      </c>
      <c r="F48" s="30"/>
      <c r="G48" s="29" t="s">
        <v>441</v>
      </c>
      <c r="H48" s="29" t="s">
        <v>526</v>
      </c>
      <c r="I48" s="29" t="s">
        <v>45</v>
      </c>
      <c r="J48" s="30"/>
      <c r="K48" s="29" t="s">
        <v>476</v>
      </c>
      <c r="L48" s="29" t="s">
        <v>476</v>
      </c>
      <c r="M48" s="29" t="s">
        <v>1923</v>
      </c>
      <c r="N48" s="29"/>
      <c r="O48" s="29"/>
      <c r="P48" s="29" t="s">
        <v>1924</v>
      </c>
    </row>
    <row r="49">
      <c r="A49" s="28">
        <v>9489.0</v>
      </c>
      <c r="B49" s="29" t="s">
        <v>1925</v>
      </c>
      <c r="C49" s="29" t="s">
        <v>449</v>
      </c>
      <c r="D49" s="29" t="s">
        <v>1650</v>
      </c>
      <c r="E49" s="29" t="s">
        <v>1651</v>
      </c>
      <c r="F49" s="30"/>
      <c r="G49" s="29" t="s">
        <v>670</v>
      </c>
      <c r="H49" s="29" t="s">
        <v>1926</v>
      </c>
      <c r="I49" s="29" t="s">
        <v>45</v>
      </c>
      <c r="J49" s="29" t="s">
        <v>672</v>
      </c>
      <c r="K49" s="29" t="s">
        <v>1927</v>
      </c>
      <c r="L49" s="29" t="s">
        <v>465</v>
      </c>
      <c r="M49" s="29" t="s">
        <v>1928</v>
      </c>
      <c r="N49" s="29"/>
      <c r="O49" s="29"/>
      <c r="P49" s="29" t="s">
        <v>1929</v>
      </c>
    </row>
    <row r="50">
      <c r="A50" s="28">
        <v>10146.0</v>
      </c>
      <c r="B50" s="29" t="s">
        <v>1930</v>
      </c>
      <c r="C50" s="29" t="s">
        <v>432</v>
      </c>
      <c r="D50" s="29" t="s">
        <v>1650</v>
      </c>
      <c r="E50" s="29" t="s">
        <v>1651</v>
      </c>
      <c r="F50" s="30"/>
      <c r="G50" s="29" t="s">
        <v>441</v>
      </c>
      <c r="H50" s="29" t="s">
        <v>1931</v>
      </c>
      <c r="I50" s="29" t="s">
        <v>850</v>
      </c>
      <c r="J50" s="30"/>
      <c r="K50" s="29" t="s">
        <v>1932</v>
      </c>
      <c r="L50" s="29" t="s">
        <v>1933</v>
      </c>
      <c r="M50" s="29" t="s">
        <v>1830</v>
      </c>
      <c r="N50" s="29"/>
      <c r="O50" s="29"/>
      <c r="P50" s="29" t="s">
        <v>1934</v>
      </c>
    </row>
    <row r="51">
      <c r="A51" s="28">
        <v>1328.0</v>
      </c>
      <c r="B51" s="29" t="s">
        <v>1935</v>
      </c>
      <c r="C51" s="29" t="s">
        <v>432</v>
      </c>
      <c r="D51" s="29" t="s">
        <v>16</v>
      </c>
      <c r="E51" s="29" t="s">
        <v>17</v>
      </c>
      <c r="F51" s="30"/>
      <c r="G51" s="29" t="s">
        <v>664</v>
      </c>
      <c r="H51" s="29" t="s">
        <v>1936</v>
      </c>
      <c r="I51" s="29" t="s">
        <v>234</v>
      </c>
      <c r="J51" s="30"/>
      <c r="K51" s="29" t="s">
        <v>665</v>
      </c>
      <c r="L51" s="29" t="s">
        <v>1937</v>
      </c>
      <c r="M51" s="29" t="s">
        <v>1938</v>
      </c>
      <c r="N51" s="29"/>
      <c r="O51" s="29"/>
      <c r="P51" s="29" t="s">
        <v>1939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1.75"/>
    <col customWidth="1" min="3" max="3" width="49.25"/>
    <col customWidth="1" min="11" max="11" width="32.25"/>
  </cols>
  <sheetData>
    <row r="1">
      <c r="A1" s="1" t="s">
        <v>0</v>
      </c>
      <c r="B1" s="1" t="s">
        <v>1</v>
      </c>
      <c r="C1" s="2" t="s">
        <v>2</v>
      </c>
      <c r="D1" s="1" t="s">
        <v>3</v>
      </c>
      <c r="E1" s="1" t="s">
        <v>4</v>
      </c>
      <c r="F1" s="1" t="s">
        <v>5</v>
      </c>
      <c r="G1" s="1" t="s">
        <v>6</v>
      </c>
      <c r="H1" s="1" t="s">
        <v>7</v>
      </c>
      <c r="I1" s="1" t="s">
        <v>8</v>
      </c>
      <c r="J1" s="1" t="s">
        <v>9</v>
      </c>
      <c r="K1" s="1" t="s">
        <v>10</v>
      </c>
      <c r="L1" s="1" t="s">
        <v>11</v>
      </c>
      <c r="M1" s="1" t="s">
        <v>12</v>
      </c>
      <c r="N1" s="1" t="s">
        <v>13</v>
      </c>
    </row>
    <row r="2">
      <c r="A2" s="1">
        <v>4242.0</v>
      </c>
      <c r="B2" s="1" t="s">
        <v>1940</v>
      </c>
      <c r="C2" s="1" t="str">
        <f>IFERROR(__xludf.DUMMYFUNCTION("GOOGLETRANSLATE(B2)"),"NATIONAL SUSTAINABLE DEVELOPMENT STRATEGY FOR THE KYRGYZ REPUBLIC")</f>
        <v>NATIONAL SUSTAINABLE DEVELOPMENT STRATEGY FOR THE KYRGYZ REPUBLIC</v>
      </c>
      <c r="D2" s="1" t="s">
        <v>1941</v>
      </c>
      <c r="E2" s="1" t="s">
        <v>1942</v>
      </c>
      <c r="F2" s="1" t="s">
        <v>144</v>
      </c>
      <c r="G2" s="1"/>
      <c r="H2" s="1">
        <v>2013.0</v>
      </c>
      <c r="I2" s="1" t="s">
        <v>24</v>
      </c>
      <c r="J2" s="1" t="s">
        <v>1943</v>
      </c>
      <c r="K2" s="4" t="s">
        <v>1944</v>
      </c>
      <c r="L2" s="1" t="s">
        <v>1945</v>
      </c>
      <c r="N2" s="1" t="s">
        <v>23</v>
      </c>
    </row>
    <row r="3">
      <c r="A3" s="1">
        <v>4242.0</v>
      </c>
      <c r="B3" s="1" t="s">
        <v>1946</v>
      </c>
      <c r="C3" s="1" t="str">
        <f>IFERROR(__xludf.DUMMYFUNCTION("GOOGLETRANSLATE(B3)"),"National Strategy for Sustainable Development of the Kyrgyz Republic")</f>
        <v>National Strategy for Sustainable Development of the Kyrgyz Republic</v>
      </c>
      <c r="D3" s="1" t="s">
        <v>1941</v>
      </c>
      <c r="E3" s="1" t="s">
        <v>1942</v>
      </c>
      <c r="F3" s="1" t="s">
        <v>144</v>
      </c>
      <c r="G3" s="1"/>
      <c r="H3" s="1">
        <v>2013.0</v>
      </c>
      <c r="I3" s="1" t="s">
        <v>347</v>
      </c>
      <c r="J3" s="1" t="s">
        <v>1947</v>
      </c>
      <c r="K3" s="4" t="s">
        <v>1948</v>
      </c>
      <c r="L3" s="1" t="s">
        <v>1945</v>
      </c>
      <c r="N3" s="1" t="s">
        <v>23</v>
      </c>
    </row>
    <row r="4">
      <c r="A4" s="1">
        <v>4243.0</v>
      </c>
      <c r="B4" s="1" t="s">
        <v>1949</v>
      </c>
      <c r="C4" s="1" t="str">
        <f>IFERROR(__xludf.DUMMYFUNCTION("GOOGLETRANSLATE(B4)"),"CLIMATE CHANGE ADAPTATION PROGRAMME AND ACTION PLAN FOR 2015-2017 FOR THE FOREST AND BIODIVERSITY SECTOR")</f>
        <v>CLIMATE CHANGE ADAPTATION PROGRAMME AND ACTION PLAN FOR 2015-2017 FOR THE FOREST AND BIODIVERSITY SECTOR</v>
      </c>
      <c r="D4" s="1" t="s">
        <v>1941</v>
      </c>
      <c r="E4" s="1" t="s">
        <v>1942</v>
      </c>
      <c r="F4" s="1" t="s">
        <v>234</v>
      </c>
      <c r="G4" s="1"/>
      <c r="H4" s="1">
        <v>2015.0</v>
      </c>
      <c r="I4" s="1" t="s">
        <v>24</v>
      </c>
      <c r="J4" s="1" t="s">
        <v>1950</v>
      </c>
      <c r="K4" s="4" t="s">
        <v>1951</v>
      </c>
      <c r="L4" s="1" t="s">
        <v>1945</v>
      </c>
      <c r="N4" s="1" t="s">
        <v>23</v>
      </c>
    </row>
    <row r="5">
      <c r="A5" s="1">
        <v>4243.0</v>
      </c>
      <c r="B5" s="1" t="s">
        <v>1952</v>
      </c>
      <c r="C5" s="1" t="str">
        <f>IFERROR(__xludf.DUMMYFUNCTION("GOOGLETRANSLATE(B5)"),"Program and plan of action to adapt to the change in the climate of the sector ""Forest and Biodiversity"" for 2015-2017.")</f>
        <v>Program and plan of action to adapt to the change in the climate of the sector "Forest and Biodiversity" for 2015-2017.</v>
      </c>
      <c r="D5" s="1" t="s">
        <v>1941</v>
      </c>
      <c r="E5" s="1" t="s">
        <v>1942</v>
      </c>
      <c r="F5" s="1" t="s">
        <v>234</v>
      </c>
      <c r="G5" s="1"/>
      <c r="H5" s="1">
        <v>2015.0</v>
      </c>
      <c r="I5" s="1" t="s">
        <v>347</v>
      </c>
      <c r="J5" s="1" t="s">
        <v>1953</v>
      </c>
      <c r="K5" s="4" t="s">
        <v>1954</v>
      </c>
      <c r="L5" s="1" t="s">
        <v>1945</v>
      </c>
      <c r="N5" s="1" t="s">
        <v>23</v>
      </c>
    </row>
    <row r="6">
      <c r="A6" s="1">
        <v>4963.0</v>
      </c>
      <c r="B6" s="1" t="s">
        <v>1955</v>
      </c>
      <c r="C6" s="1" t="str">
        <f>IFERROR(__xludf.DUMMYFUNCTION("GOOGLETRANSLATE(B6)"),"Law on the Energy Efficiency of Buildings")</f>
        <v>Law on the Energy Efficiency of Buildings</v>
      </c>
      <c r="D6" s="1" t="s">
        <v>1941</v>
      </c>
      <c r="E6" s="1" t="s">
        <v>1942</v>
      </c>
      <c r="F6" s="1" t="s">
        <v>41</v>
      </c>
      <c r="G6" s="1"/>
      <c r="H6" s="1">
        <v>2011.0</v>
      </c>
      <c r="I6" s="1" t="s">
        <v>24</v>
      </c>
      <c r="J6" s="1" t="s">
        <v>1956</v>
      </c>
      <c r="K6" s="4" t="s">
        <v>1957</v>
      </c>
      <c r="L6" s="1" t="s">
        <v>1945</v>
      </c>
      <c r="N6" s="1" t="s">
        <v>23</v>
      </c>
    </row>
    <row r="7">
      <c r="A7" s="1">
        <v>4963.0</v>
      </c>
      <c r="B7" s="1" t="s">
        <v>1958</v>
      </c>
      <c r="C7" s="1" t="str">
        <f>IFERROR(__xludf.DUMMYFUNCTION("GOOGLETRANSLATE(B7)"),"The law on the energy efficiency of buildings")</f>
        <v>The law on the energy efficiency of buildings</v>
      </c>
      <c r="D7" s="1" t="s">
        <v>1941</v>
      </c>
      <c r="E7" s="1" t="s">
        <v>1942</v>
      </c>
      <c r="F7" s="1" t="s">
        <v>41</v>
      </c>
      <c r="G7" s="1"/>
      <c r="H7" s="1">
        <v>2011.0</v>
      </c>
      <c r="I7" s="1" t="s">
        <v>347</v>
      </c>
      <c r="J7" s="1" t="s">
        <v>1959</v>
      </c>
      <c r="K7" s="4" t="s">
        <v>1960</v>
      </c>
      <c r="L7" s="1" t="s">
        <v>1945</v>
      </c>
      <c r="N7" s="1" t="s">
        <v>23</v>
      </c>
    </row>
    <row r="8">
      <c r="A8" s="1">
        <v>10007.0</v>
      </c>
      <c r="B8" s="1" t="s">
        <v>1961</v>
      </c>
      <c r="C8" s="1" t="str">
        <f>IFERROR(__xludf.DUMMYFUNCTION("GOOGLETRANSLATE(B8)"),"The program for the transition of the Kyrgyz Republic to sustainable development for 2013-2017")</f>
        <v>The program for the transition of the Kyrgyz Republic to sustainable development for 2013-2017</v>
      </c>
      <c r="D8" s="1" t="s">
        <v>1941</v>
      </c>
      <c r="E8" s="1" t="s">
        <v>1942</v>
      </c>
      <c r="F8" s="1" t="s">
        <v>850</v>
      </c>
      <c r="G8" s="1"/>
      <c r="H8" s="1">
        <v>2013.0</v>
      </c>
      <c r="I8" s="1" t="s">
        <v>347</v>
      </c>
      <c r="J8" s="1" t="s">
        <v>1962</v>
      </c>
      <c r="K8" s="4" t="s">
        <v>1963</v>
      </c>
      <c r="L8" s="1" t="s">
        <v>1945</v>
      </c>
      <c r="N8" s="1" t="s">
        <v>92</v>
      </c>
    </row>
    <row r="9" hidden="1">
      <c r="A9" s="9">
        <v>10007.0</v>
      </c>
      <c r="B9" s="3"/>
      <c r="C9" s="9" t="str">
        <f>IFERROR(__xludf.DUMMYFUNCTION("GOOGLETRANSLATE(B9)"),"#VALUE!")</f>
        <v>#VALUE!</v>
      </c>
      <c r="D9" s="9" t="s">
        <v>1941</v>
      </c>
      <c r="E9" s="9" t="s">
        <v>1942</v>
      </c>
      <c r="F9" s="3"/>
      <c r="G9" s="3"/>
      <c r="H9" s="3"/>
      <c r="I9" s="3"/>
      <c r="J9" s="9" t="s">
        <v>1964</v>
      </c>
      <c r="K9" s="24" t="s">
        <v>1965</v>
      </c>
      <c r="L9" s="9" t="s">
        <v>1945</v>
      </c>
      <c r="M9" s="3"/>
      <c r="N9" s="9" t="s">
        <v>37</v>
      </c>
      <c r="O9" s="3"/>
      <c r="P9" s="3"/>
      <c r="Q9" s="3"/>
      <c r="R9" s="3"/>
      <c r="S9" s="3"/>
      <c r="T9" s="3"/>
      <c r="U9" s="3"/>
      <c r="V9" s="3"/>
      <c r="W9" s="3"/>
      <c r="X9" s="3"/>
      <c r="Y9" s="3"/>
      <c r="Z9" s="3"/>
      <c r="AA9" s="3"/>
      <c r="AB9" s="3"/>
    </row>
    <row r="10">
      <c r="A10" s="1">
        <v>10007.0</v>
      </c>
      <c r="B10" s="1" t="s">
        <v>1966</v>
      </c>
      <c r="C10" s="1" t="str">
        <f>IFERROR(__xludf.DUMMYFUNCTION("GOOGLETRANSLATE(B10)"),"Decree on the approval of the draft program for the transition of the Kyrgyz Republic to sustainable development for 2013-2017")</f>
        <v>Decree on the approval of the draft program for the transition of the Kyrgyz Republic to sustainable development for 2013-2017</v>
      </c>
      <c r="D10" s="1" t="s">
        <v>1941</v>
      </c>
      <c r="E10" s="1" t="s">
        <v>1942</v>
      </c>
      <c r="F10" s="1" t="s">
        <v>18</v>
      </c>
      <c r="G10" s="1"/>
      <c r="H10" s="1">
        <v>2013.0</v>
      </c>
      <c r="I10" s="1" t="s">
        <v>347</v>
      </c>
      <c r="J10" s="4" t="s">
        <v>1967</v>
      </c>
      <c r="K10" s="4" t="s">
        <v>1968</v>
      </c>
      <c r="L10" s="1" t="s">
        <v>1945</v>
      </c>
      <c r="N10" s="1" t="s">
        <v>92</v>
      </c>
    </row>
    <row r="11">
      <c r="A11" s="1">
        <v>10007.0</v>
      </c>
      <c r="B11" s="1" t="s">
        <v>1940</v>
      </c>
      <c r="C11" s="1" t="str">
        <f>IFERROR(__xludf.DUMMYFUNCTION("GOOGLETRANSLATE(B11)"),"NATIONAL SUSTAINABLE DEVELOPMENT STRATEGY FOR THE KYRGYZ REPUBLIC")</f>
        <v>NATIONAL SUSTAINABLE DEVELOPMENT STRATEGY FOR THE KYRGYZ REPUBLIC</v>
      </c>
      <c r="D11" s="1" t="s">
        <v>1941</v>
      </c>
      <c r="E11" s="1" t="s">
        <v>1942</v>
      </c>
      <c r="F11" s="1" t="s">
        <v>144</v>
      </c>
      <c r="G11" s="1"/>
      <c r="H11" s="1">
        <v>2013.0</v>
      </c>
      <c r="I11" s="1" t="s">
        <v>24</v>
      </c>
      <c r="J11" s="1" t="s">
        <v>1969</v>
      </c>
      <c r="K11" s="4" t="s">
        <v>1970</v>
      </c>
      <c r="L11" s="1" t="s">
        <v>1945</v>
      </c>
      <c r="N11" s="1" t="s">
        <v>23</v>
      </c>
    </row>
    <row r="12">
      <c r="A12" s="1">
        <v>10371.0</v>
      </c>
      <c r="B12" s="1" t="s">
        <v>1971</v>
      </c>
      <c r="C12" s="1" t="str">
        <f>IFERROR(__xludf.DUMMYFUNCTION("GOOGLETRANSLATE(B12)"),"Decree on issues of the State Committee on Ecology and Climate of the Kyrgyz Republic")</f>
        <v>Decree on issues of the State Committee on Ecology and Climate of the Kyrgyz Republic</v>
      </c>
      <c r="D12" s="1" t="s">
        <v>1941</v>
      </c>
      <c r="E12" s="1" t="s">
        <v>1942</v>
      </c>
      <c r="F12" s="1" t="s">
        <v>18</v>
      </c>
      <c r="G12" s="1"/>
      <c r="H12" s="1">
        <v>2021.0</v>
      </c>
      <c r="I12" s="1" t="s">
        <v>347</v>
      </c>
      <c r="J12" s="1" t="s">
        <v>1972</v>
      </c>
      <c r="K12" s="4" t="s">
        <v>1973</v>
      </c>
      <c r="L12" s="1" t="s">
        <v>1945</v>
      </c>
      <c r="N12" s="1" t="s">
        <v>92</v>
      </c>
    </row>
    <row r="13">
      <c r="A13" s="1">
        <v>10371.0</v>
      </c>
      <c r="B13" s="1" t="s">
        <v>1974</v>
      </c>
      <c r="C13" s="1" t="str">
        <f>IFERROR(__xludf.DUMMYFUNCTION("GOOGLETRANSLATE(B13)"),"Resolution of the Cabinet of Ministers of the Kyrgyz Republic of May 19, 2021 No. 11 On the issues of the State Committee on Ecology and Climate of the Kyrgyz Republic")</f>
        <v>Resolution of the Cabinet of Ministers of the Kyrgyz Republic of May 19, 2021 No. 11 On the issues of the State Committee on Ecology and Climate of the Kyrgyz Republic</v>
      </c>
      <c r="D13" s="1" t="s">
        <v>1941</v>
      </c>
      <c r="E13" s="1" t="s">
        <v>1942</v>
      </c>
      <c r="F13" s="1" t="s">
        <v>137</v>
      </c>
      <c r="G13" s="1"/>
      <c r="H13" s="1">
        <v>2021.0</v>
      </c>
      <c r="I13" s="1" t="s">
        <v>347</v>
      </c>
      <c r="J13" s="1" t="s">
        <v>1975</v>
      </c>
      <c r="K13" s="4" t="s">
        <v>1976</v>
      </c>
      <c r="L13" s="1" t="s">
        <v>1945</v>
      </c>
      <c r="N13" s="1" t="s">
        <v>326</v>
      </c>
    </row>
    <row r="14">
      <c r="A14" s="1">
        <v>10371.0</v>
      </c>
      <c r="B14" s="1" t="s">
        <v>1977</v>
      </c>
      <c r="C14" s="1" t="str">
        <f>IFERROR(__xludf.DUMMYFUNCTION("GOOGLETRANSLATE(B14)"),"Regulation on the State Committee on Ecology and Climate")</f>
        <v>Regulation on the State Committee on Ecology and Climate</v>
      </c>
      <c r="D14" s="1" t="s">
        <v>1941</v>
      </c>
      <c r="E14" s="1" t="s">
        <v>1942</v>
      </c>
      <c r="F14" s="1" t="s">
        <v>34</v>
      </c>
      <c r="G14" s="1"/>
      <c r="H14" s="1">
        <v>2021.0</v>
      </c>
      <c r="I14" s="1" t="s">
        <v>347</v>
      </c>
      <c r="J14" s="4" t="s">
        <v>1978</v>
      </c>
      <c r="K14" s="4" t="s">
        <v>1979</v>
      </c>
      <c r="L14" s="1" t="s">
        <v>1945</v>
      </c>
      <c r="N14" s="1" t="s">
        <v>92</v>
      </c>
    </row>
    <row r="15">
      <c r="A15" s="1">
        <v>10372.0</v>
      </c>
      <c r="B15" s="1" t="s">
        <v>1980</v>
      </c>
      <c r="C15" s="1" t="str">
        <f>IFERROR(__xludf.DUMMYFUNCTION("GOOGLETRANSLATE(B15)"),"Decree on the approval of the strategy of sustainable development of industry of the Kyrgyz Republic for 2019-2023")</f>
        <v>Decree on the approval of the strategy of sustainable development of industry of the Kyrgyz Republic for 2019-2023</v>
      </c>
      <c r="D15" s="1" t="s">
        <v>1941</v>
      </c>
      <c r="E15" s="1" t="s">
        <v>1942</v>
      </c>
      <c r="F15" s="1" t="s">
        <v>18</v>
      </c>
      <c r="G15" s="1"/>
      <c r="H15" s="1">
        <v>2019.0</v>
      </c>
      <c r="I15" s="1" t="s">
        <v>347</v>
      </c>
      <c r="J15" s="1" t="s">
        <v>1981</v>
      </c>
      <c r="K15" s="4" t="s">
        <v>1982</v>
      </c>
      <c r="L15" s="1" t="s">
        <v>1945</v>
      </c>
      <c r="N15" s="1" t="s">
        <v>92</v>
      </c>
    </row>
    <row r="16">
      <c r="A16" s="1">
        <v>10372.0</v>
      </c>
      <c r="B16" s="1" t="s">
        <v>1983</v>
      </c>
      <c r="C16" s="1" t="str">
        <f>IFERROR(__xludf.DUMMYFUNCTION("GOOGLETRANSLATE(B16)"),"Strategy for Sustainable Industrial Development of the Kyrgyz Republic 2019-2023")</f>
        <v>Strategy for Sustainable Industrial Development of the Kyrgyz Republic 2019-2023</v>
      </c>
      <c r="D16" s="1" t="s">
        <v>1941</v>
      </c>
      <c r="E16" s="1" t="s">
        <v>1942</v>
      </c>
      <c r="F16" s="1" t="s">
        <v>144</v>
      </c>
      <c r="G16" s="1"/>
      <c r="H16" s="1">
        <v>2019.0</v>
      </c>
      <c r="I16" s="1" t="s">
        <v>24</v>
      </c>
      <c r="J16" s="1" t="s">
        <v>1984</v>
      </c>
      <c r="K16" s="4" t="s">
        <v>1985</v>
      </c>
      <c r="L16" s="1" t="s">
        <v>1945</v>
      </c>
      <c r="N16" s="1" t="s">
        <v>23</v>
      </c>
    </row>
    <row r="17">
      <c r="A17" s="1">
        <v>8465.0</v>
      </c>
      <c r="B17" s="1" t="s">
        <v>1986</v>
      </c>
      <c r="C17" s="1" t="str">
        <f>IFERROR(__xludf.DUMMYFUNCTION("GOOGLETRANSLATE(B17)"),"Latvia's Strategic Development Plan 2010-2013")</f>
        <v>Latvia's Strategic Development Plan 2010-2013</v>
      </c>
      <c r="D17" s="1" t="s">
        <v>1987</v>
      </c>
      <c r="E17" s="1" t="s">
        <v>1988</v>
      </c>
      <c r="F17" s="1" t="s">
        <v>234</v>
      </c>
      <c r="G17" s="1"/>
      <c r="H17" s="1">
        <v>2010.0</v>
      </c>
      <c r="I17" s="1" t="s">
        <v>1989</v>
      </c>
      <c r="J17" s="1" t="s">
        <v>1990</v>
      </c>
      <c r="K17" s="4" t="s">
        <v>1991</v>
      </c>
      <c r="L17" s="1" t="s">
        <v>1945</v>
      </c>
      <c r="N17" s="1" t="s">
        <v>23</v>
      </c>
    </row>
    <row r="18">
      <c r="A18" s="1">
        <v>8465.0</v>
      </c>
      <c r="B18" s="1" t="s">
        <v>1992</v>
      </c>
      <c r="C18" s="1" t="str">
        <f>IFERROR(__xludf.DUMMYFUNCTION("GOOGLETRANSLATE(B18)"),"Latvian National Development Plan 2014-2020")</f>
        <v>Latvian National Development Plan 2014-2020</v>
      </c>
      <c r="D18" s="1" t="s">
        <v>1987</v>
      </c>
      <c r="E18" s="1" t="s">
        <v>1988</v>
      </c>
      <c r="F18" s="1" t="s">
        <v>234</v>
      </c>
      <c r="G18" s="1"/>
      <c r="H18" s="1">
        <v>2014.0</v>
      </c>
      <c r="I18" s="1" t="s">
        <v>1989</v>
      </c>
      <c r="J18" s="1" t="s">
        <v>1993</v>
      </c>
      <c r="K18" s="4" t="s">
        <v>1994</v>
      </c>
      <c r="L18" s="1" t="s">
        <v>1945</v>
      </c>
      <c r="N18" s="1" t="s">
        <v>23</v>
      </c>
    </row>
    <row r="19">
      <c r="A19" s="1">
        <v>9426.0</v>
      </c>
      <c r="B19" s="1" t="s">
        <v>1995</v>
      </c>
      <c r="C19" s="1" t="str">
        <f>IFERROR(__xludf.DUMMYFUNCTION("GOOGLETRANSLATE(B19)"),"On the information report “Latvia's Strategy to Achieve Climate Until 2050”")</f>
        <v>On the information report “Latvia's Strategy to Achieve Climate Until 2050”</v>
      </c>
      <c r="D19" s="1" t="s">
        <v>1987</v>
      </c>
      <c r="E19" s="1" t="s">
        <v>1988</v>
      </c>
      <c r="F19" s="9" t="s">
        <v>144</v>
      </c>
      <c r="G19" s="1"/>
      <c r="H19" s="1">
        <v>2019.0</v>
      </c>
      <c r="I19" s="1" t="s">
        <v>1989</v>
      </c>
      <c r="J19" s="1" t="s">
        <v>1996</v>
      </c>
      <c r="K19" s="4" t="s">
        <v>1997</v>
      </c>
      <c r="L19" s="1" t="s">
        <v>1945</v>
      </c>
      <c r="N19" s="1" t="s">
        <v>48</v>
      </c>
    </row>
    <row r="20">
      <c r="A20" s="1">
        <v>9426.0</v>
      </c>
      <c r="B20" s="1" t="s">
        <v>1998</v>
      </c>
      <c r="C20" s="1" t="str">
        <f>IFERROR(__xludf.DUMMYFUNCTION("GOOGLETRANSLATE(B20)"),"Latvia's strategy to achieve climate by 2050 by 2050")</f>
        <v>Latvia's strategy to achieve climate by 2050 by 2050</v>
      </c>
      <c r="D20" s="1" t="s">
        <v>1987</v>
      </c>
      <c r="E20" s="1" t="s">
        <v>1988</v>
      </c>
      <c r="F20" s="1" t="s">
        <v>144</v>
      </c>
      <c r="G20" s="1"/>
      <c r="H20" s="1">
        <v>2019.0</v>
      </c>
      <c r="I20" s="1" t="s">
        <v>1989</v>
      </c>
      <c r="J20" s="1" t="s">
        <v>1999</v>
      </c>
      <c r="K20" s="4" t="s">
        <v>2000</v>
      </c>
      <c r="L20" s="1" t="s">
        <v>1945</v>
      </c>
      <c r="N20" s="1" t="s">
        <v>23</v>
      </c>
    </row>
    <row r="21" hidden="1">
      <c r="A21" s="9">
        <v>9426.0</v>
      </c>
      <c r="B21" s="3"/>
      <c r="C21" s="9" t="str">
        <f>IFERROR(__xludf.DUMMYFUNCTION("GOOGLETRANSLATE(B21)"),"#VALUE!")</f>
        <v>#VALUE!</v>
      </c>
      <c r="D21" s="9" t="s">
        <v>1987</v>
      </c>
      <c r="E21" s="9" t="s">
        <v>1988</v>
      </c>
      <c r="F21" s="3"/>
      <c r="G21" s="3"/>
      <c r="H21" s="3"/>
      <c r="I21" s="3"/>
      <c r="J21" s="24" t="s">
        <v>2001</v>
      </c>
      <c r="K21" s="24" t="s">
        <v>2002</v>
      </c>
      <c r="L21" s="9" t="s">
        <v>1945</v>
      </c>
      <c r="M21" s="3"/>
      <c r="N21" s="9" t="s">
        <v>326</v>
      </c>
      <c r="O21" s="3"/>
      <c r="P21" s="3"/>
      <c r="Q21" s="3"/>
      <c r="R21" s="3"/>
      <c r="S21" s="3"/>
      <c r="T21" s="3"/>
      <c r="U21" s="3"/>
      <c r="V21" s="3"/>
      <c r="W21" s="3"/>
      <c r="X21" s="3"/>
      <c r="Y21" s="3"/>
      <c r="Z21" s="3"/>
      <c r="AA21" s="3"/>
      <c r="AB21" s="3"/>
    </row>
    <row r="22">
      <c r="A22" s="1">
        <v>9507.0</v>
      </c>
      <c r="B22" s="1" t="s">
        <v>2003</v>
      </c>
      <c r="C22" s="1" t="str">
        <f>IFERROR(__xludf.DUMMYFUNCTION("GOOGLETRANSLATE(B22)"),"LATVIA’S NATIONAL ENERGY AND CLIMATE PLAN 2021–2030")</f>
        <v>LATVIA’S NATIONAL ENERGY AND CLIMATE PLAN 2021–2030</v>
      </c>
      <c r="D22" s="1" t="s">
        <v>1987</v>
      </c>
      <c r="E22" s="1" t="s">
        <v>1988</v>
      </c>
      <c r="F22" s="1" t="s">
        <v>234</v>
      </c>
      <c r="G22" s="1"/>
      <c r="H22" s="1">
        <v>2021.0</v>
      </c>
      <c r="I22" s="1" t="s">
        <v>24</v>
      </c>
      <c r="J22" s="1" t="s">
        <v>2004</v>
      </c>
      <c r="K22" s="4" t="s">
        <v>2005</v>
      </c>
      <c r="L22" s="1" t="s">
        <v>1945</v>
      </c>
      <c r="N22" s="1" t="s">
        <v>23</v>
      </c>
    </row>
    <row r="23">
      <c r="A23" s="1">
        <v>9507.0</v>
      </c>
      <c r="B23" s="1" t="s">
        <v>2006</v>
      </c>
      <c r="C23" s="1" t="str">
        <f>IFERROR(__xludf.DUMMYFUNCTION("GOOGLETRANSLATE(B23)"),"Latvia's National Energy and Climate Plan 2021-2030")</f>
        <v>Latvia's National Energy and Climate Plan 2021-2030</v>
      </c>
      <c r="D23" s="1" t="s">
        <v>1987</v>
      </c>
      <c r="E23" s="1" t="s">
        <v>1988</v>
      </c>
      <c r="F23" s="1" t="s">
        <v>234</v>
      </c>
      <c r="G23" s="1"/>
      <c r="H23" s="1">
        <v>2021.0</v>
      </c>
      <c r="I23" s="1" t="s">
        <v>1989</v>
      </c>
      <c r="J23" s="1" t="s">
        <v>2007</v>
      </c>
      <c r="K23" s="4" t="s">
        <v>2008</v>
      </c>
      <c r="L23" s="1" t="s">
        <v>1945</v>
      </c>
      <c r="N23" s="1" t="s">
        <v>23</v>
      </c>
    </row>
    <row r="24">
      <c r="A24" s="1">
        <v>10503.0</v>
      </c>
      <c r="B24" s="1" t="s">
        <v>2009</v>
      </c>
      <c r="C24" s="1" t="str">
        <f>IFERROR(__xludf.DUMMYFUNCTION("GOOGLETRANSLATE(B24)"),"Latvia's recovery and resilience plan")</f>
        <v>Latvia's recovery and resilience plan</v>
      </c>
      <c r="D24" s="1" t="s">
        <v>1987</v>
      </c>
      <c r="E24" s="1" t="s">
        <v>1988</v>
      </c>
      <c r="F24" s="1" t="s">
        <v>234</v>
      </c>
      <c r="G24" s="1"/>
      <c r="H24" s="1">
        <v>2021.0</v>
      </c>
      <c r="I24" s="1" t="s">
        <v>24</v>
      </c>
      <c r="J24" s="1" t="s">
        <v>2010</v>
      </c>
      <c r="K24" s="4" t="s">
        <v>2011</v>
      </c>
      <c r="L24" s="1" t="s">
        <v>1945</v>
      </c>
      <c r="N24" s="1" t="s">
        <v>92</v>
      </c>
    </row>
    <row r="25">
      <c r="A25" s="1">
        <v>10503.0</v>
      </c>
      <c r="B25" s="1" t="s">
        <v>2012</v>
      </c>
      <c r="C25" s="1" t="str">
        <f>IFERROR(__xludf.DUMMYFUNCTION("GOOGLETRANSLATE(B25)"),"Recovery and resilience plan for Latvia - EU Decisions")</f>
        <v>Recovery and resilience plan for Latvia - EU Decisions</v>
      </c>
      <c r="D25" s="1" t="s">
        <v>1987</v>
      </c>
      <c r="E25" s="1" t="s">
        <v>1988</v>
      </c>
      <c r="F25" s="1" t="s">
        <v>247</v>
      </c>
      <c r="G25" s="1"/>
      <c r="H25" s="1">
        <v>2021.0</v>
      </c>
      <c r="I25" s="1" t="s">
        <v>24</v>
      </c>
      <c r="J25" s="4" t="s">
        <v>2013</v>
      </c>
      <c r="K25" s="4" t="s">
        <v>2014</v>
      </c>
      <c r="L25" s="1" t="s">
        <v>1945</v>
      </c>
      <c r="N25" s="1" t="s">
        <v>92</v>
      </c>
    </row>
    <row r="26">
      <c r="A26" s="1">
        <v>10503.0</v>
      </c>
      <c r="B26" s="1" t="s">
        <v>2015</v>
      </c>
      <c r="C26" s="1" t="str">
        <f>IFERROR(__xludf.DUMMYFUNCTION("GOOGLETRANSLATE(B26)"),"Factsheet: Latvia’s recovery and resilience plan")</f>
        <v>Factsheet: Latvia’s recovery and resilience plan</v>
      </c>
      <c r="D26" s="1" t="s">
        <v>1987</v>
      </c>
      <c r="E26" s="1" t="s">
        <v>1988</v>
      </c>
      <c r="F26" s="1" t="s">
        <v>234</v>
      </c>
      <c r="G26" s="1"/>
      <c r="H26" s="1">
        <v>2021.0</v>
      </c>
      <c r="I26" s="1" t="s">
        <v>24</v>
      </c>
      <c r="J26" s="1" t="s">
        <v>2016</v>
      </c>
      <c r="K26" s="4" t="s">
        <v>2017</v>
      </c>
      <c r="L26" s="1" t="s">
        <v>1945</v>
      </c>
      <c r="N26" s="1" t="s">
        <v>92</v>
      </c>
    </row>
    <row r="27">
      <c r="A27" s="1">
        <v>10503.0</v>
      </c>
      <c r="B27" s="1" t="s">
        <v>2018</v>
      </c>
      <c r="C27" s="1" t="str">
        <f>IFERROR(__xludf.DUMMYFUNCTION("GOOGLETRANSLATE(B27)"),"European Commission documents")</f>
        <v>European Commission documents</v>
      </c>
      <c r="D27" s="1" t="s">
        <v>1987</v>
      </c>
      <c r="E27" s="1" t="s">
        <v>1988</v>
      </c>
      <c r="F27" s="9" t="s">
        <v>1532</v>
      </c>
      <c r="G27" s="1" t="s">
        <v>234</v>
      </c>
      <c r="H27" s="1">
        <v>2021.0</v>
      </c>
      <c r="I27" s="1" t="s">
        <v>1989</v>
      </c>
      <c r="J27" s="1" t="s">
        <v>2019</v>
      </c>
      <c r="K27" s="4" t="s">
        <v>2020</v>
      </c>
      <c r="L27" s="1" t="s">
        <v>1945</v>
      </c>
      <c r="N27" s="1" t="s">
        <v>275</v>
      </c>
    </row>
    <row r="28">
      <c r="A28" s="1">
        <v>10503.0</v>
      </c>
      <c r="B28" s="1" t="s">
        <v>2021</v>
      </c>
      <c r="C28" s="1" t="str">
        <f>IFERROR(__xludf.DUMMYFUNCTION("GOOGLETRANSLATE(B28)"),"European Union Recovery and Persistence Mechanism Plan Latvia 2021-2026")</f>
        <v>European Union Recovery and Persistence Mechanism Plan Latvia 2021-2026</v>
      </c>
      <c r="D28" s="1" t="s">
        <v>1987</v>
      </c>
      <c r="E28" s="1" t="s">
        <v>1988</v>
      </c>
      <c r="F28" s="1" t="s">
        <v>234</v>
      </c>
      <c r="G28" s="1"/>
      <c r="H28" s="1">
        <v>2021.0</v>
      </c>
      <c r="I28" s="1" t="s">
        <v>1989</v>
      </c>
      <c r="J28" s="1" t="s">
        <v>2022</v>
      </c>
      <c r="K28" s="4" t="s">
        <v>2023</v>
      </c>
      <c r="L28" s="1" t="s">
        <v>1945</v>
      </c>
      <c r="N28" s="1" t="s">
        <v>23</v>
      </c>
    </row>
    <row r="29">
      <c r="A29" s="1">
        <v>8532.0</v>
      </c>
      <c r="B29" s="1" t="s">
        <v>2024</v>
      </c>
      <c r="C29" s="1" t="str">
        <f>IFERROR(__xludf.DUMMYFUNCTION("GOOGLETRANSLATE(B29)"),"Lebanon National Forest Program")</f>
        <v>Lebanon National Forest Program</v>
      </c>
      <c r="D29" s="1" t="s">
        <v>2025</v>
      </c>
      <c r="E29" s="1" t="s">
        <v>2026</v>
      </c>
      <c r="F29" s="1" t="s">
        <v>850</v>
      </c>
      <c r="G29" s="1"/>
      <c r="H29" s="1">
        <v>2015.0</v>
      </c>
      <c r="I29" s="1" t="s">
        <v>24</v>
      </c>
      <c r="J29" s="1" t="s">
        <v>2027</v>
      </c>
      <c r="K29" s="4" t="s">
        <v>2028</v>
      </c>
      <c r="L29" s="1" t="s">
        <v>1945</v>
      </c>
      <c r="N29" s="1" t="s">
        <v>23</v>
      </c>
    </row>
    <row r="30">
      <c r="A30" s="1">
        <v>8532.0</v>
      </c>
      <c r="B30" s="1" t="s">
        <v>2024</v>
      </c>
      <c r="C30" s="1" t="str">
        <f>IFERROR(__xludf.DUMMYFUNCTION("GOOGLETRANSLATE(B30)"),"Lebanon National Forest Program")</f>
        <v>Lebanon National Forest Program</v>
      </c>
      <c r="D30" s="1" t="s">
        <v>2025</v>
      </c>
      <c r="E30" s="1" t="s">
        <v>2026</v>
      </c>
      <c r="F30" s="1" t="s">
        <v>850</v>
      </c>
      <c r="G30" s="1"/>
      <c r="H30" s="1">
        <v>2015.0</v>
      </c>
      <c r="I30" s="1" t="s">
        <v>24</v>
      </c>
      <c r="J30" s="1" t="s">
        <v>2029</v>
      </c>
      <c r="K30" s="4" t="s">
        <v>2030</v>
      </c>
      <c r="L30" s="1" t="s">
        <v>1945</v>
      </c>
      <c r="N30" s="1" t="s">
        <v>23</v>
      </c>
    </row>
    <row r="31" hidden="1">
      <c r="A31" s="9">
        <v>8534.0</v>
      </c>
      <c r="B31" s="3"/>
      <c r="C31" s="9" t="str">
        <f>IFERROR(__xludf.DUMMYFUNCTION("GOOGLETRANSLATE(B31)"),"#VALUE!")</f>
        <v>#VALUE!</v>
      </c>
      <c r="D31" s="9" t="s">
        <v>2025</v>
      </c>
      <c r="E31" s="9" t="s">
        <v>2026</v>
      </c>
      <c r="F31" s="3"/>
      <c r="G31" s="3"/>
      <c r="H31" s="3"/>
      <c r="I31" s="3"/>
      <c r="J31" s="9" t="s">
        <v>2031</v>
      </c>
      <c r="K31" s="24" t="s">
        <v>2032</v>
      </c>
      <c r="L31" s="9" t="s">
        <v>1945</v>
      </c>
      <c r="M31" s="3"/>
      <c r="N31" s="9" t="s">
        <v>326</v>
      </c>
      <c r="O31" s="3"/>
      <c r="P31" s="3"/>
      <c r="Q31" s="3"/>
      <c r="R31" s="3"/>
      <c r="S31" s="3"/>
      <c r="T31" s="3"/>
      <c r="U31" s="3"/>
      <c r="V31" s="3"/>
      <c r="W31" s="3"/>
      <c r="X31" s="3"/>
      <c r="Y31" s="3"/>
      <c r="Z31" s="3"/>
      <c r="AA31" s="3"/>
      <c r="AB31" s="3"/>
    </row>
    <row r="32">
      <c r="A32" s="1">
        <v>8534.0</v>
      </c>
      <c r="B32" s="1" t="s">
        <v>2033</v>
      </c>
      <c r="C32" s="1" t="str">
        <f>IFERROR(__xludf.DUMMYFUNCTION("GOOGLETRANSLATE(B32)"),"The National Renewable Energy Action Plan for the Republic of Lebanon 2016-2020")</f>
        <v>The National Renewable Energy Action Plan for the Republic of Lebanon 2016-2020</v>
      </c>
      <c r="D32" s="1" t="s">
        <v>2025</v>
      </c>
      <c r="E32" s="1" t="s">
        <v>2026</v>
      </c>
      <c r="F32" s="1" t="s">
        <v>234</v>
      </c>
      <c r="G32" s="1"/>
      <c r="H32" s="1">
        <v>2016.0</v>
      </c>
      <c r="I32" s="1" t="s">
        <v>24</v>
      </c>
      <c r="J32" s="1" t="s">
        <v>2034</v>
      </c>
      <c r="K32" s="4" t="s">
        <v>2035</v>
      </c>
      <c r="L32" s="1" t="s">
        <v>1945</v>
      </c>
      <c r="N32" s="1" t="s">
        <v>23</v>
      </c>
    </row>
    <row r="33">
      <c r="A33" s="1">
        <v>10309.0</v>
      </c>
      <c r="B33" s="1" t="s">
        <v>2036</v>
      </c>
      <c r="C33" s="1" t="str">
        <f>IFERROR(__xludf.DUMMYFUNCTION("GOOGLETRANSLATE(B33)"),"PRO-POOR AGENDA FOR PROSPERITY AND DEVELOPMENT")</f>
        <v>PRO-POOR AGENDA FOR PROSPERITY AND DEVELOPMENT</v>
      </c>
      <c r="D33" s="1" t="s">
        <v>2037</v>
      </c>
      <c r="E33" s="1" t="s">
        <v>2038</v>
      </c>
      <c r="F33" s="1" t="s">
        <v>1541</v>
      </c>
      <c r="G33" s="1"/>
      <c r="H33" s="1">
        <v>2018.0</v>
      </c>
      <c r="I33" s="1" t="s">
        <v>24</v>
      </c>
      <c r="J33" s="1" t="s">
        <v>2039</v>
      </c>
      <c r="K33" s="4" t="s">
        <v>2040</v>
      </c>
      <c r="L33" s="1" t="s">
        <v>1945</v>
      </c>
      <c r="N33" s="1" t="s">
        <v>23</v>
      </c>
    </row>
    <row r="34">
      <c r="A34" s="1">
        <v>10309.0</v>
      </c>
      <c r="B34" s="1" t="s">
        <v>2041</v>
      </c>
      <c r="C34" s="1" t="str">
        <f>IFERROR(__xludf.DUMMYFUNCTION("GOOGLETRANSLATE(B34)"),"LIBERIA NATIONAL VISION 2030")</f>
        <v>LIBERIA NATIONAL VISION 2030</v>
      </c>
      <c r="D34" s="1" t="s">
        <v>2037</v>
      </c>
      <c r="E34" s="1" t="s">
        <v>2038</v>
      </c>
      <c r="F34" s="1" t="s">
        <v>253</v>
      </c>
      <c r="G34" s="1"/>
      <c r="H34" s="1">
        <v>2012.0</v>
      </c>
      <c r="I34" s="1" t="s">
        <v>24</v>
      </c>
      <c r="J34" s="1" t="s">
        <v>2042</v>
      </c>
      <c r="K34" s="4" t="s">
        <v>2043</v>
      </c>
      <c r="L34" s="1" t="s">
        <v>1945</v>
      </c>
      <c r="N34" s="1" t="s">
        <v>23</v>
      </c>
    </row>
    <row r="35">
      <c r="A35" s="1">
        <v>8470.0</v>
      </c>
      <c r="B35" s="1" t="s">
        <v>2044</v>
      </c>
      <c r="C35" s="1" t="str">
        <f>IFERROR(__xludf.DUMMYFUNCTION("GOOGLETRANSLATE(B35)"),"Resolution on Approval of National Climate Change Management Policy Strategy")</f>
        <v>Resolution on Approval of National Climate Change Management Policy Strategy</v>
      </c>
      <c r="D35" s="1" t="s">
        <v>2045</v>
      </c>
      <c r="E35" s="1" t="s">
        <v>2046</v>
      </c>
      <c r="F35" s="1" t="s">
        <v>137</v>
      </c>
      <c r="G35" s="1"/>
      <c r="H35" s="1">
        <v>2012.0</v>
      </c>
      <c r="I35" s="1" t="s">
        <v>2047</v>
      </c>
      <c r="J35" s="1" t="s">
        <v>2048</v>
      </c>
      <c r="K35" s="4" t="s">
        <v>2049</v>
      </c>
      <c r="L35" s="1" t="s">
        <v>1945</v>
      </c>
      <c r="N35" s="1" t="s">
        <v>23</v>
      </c>
    </row>
    <row r="36">
      <c r="A36" s="1">
        <v>8470.0</v>
      </c>
      <c r="B36" s="1" t="s">
        <v>2050</v>
      </c>
      <c r="C36" s="1" t="str">
        <f>IFERROR(__xludf.DUMMYFUNCTION("GOOGLETRANSLATE(B36)"),"RESOLUTION APPROVING THE NATIONAL STRATEGY FOR CLIMATE CHANGE MANAGEMENT POLICY")</f>
        <v>RESOLUTION APPROVING THE NATIONAL STRATEGY FOR CLIMATE CHANGE MANAGEMENT POLICY</v>
      </c>
      <c r="D36" s="1" t="s">
        <v>2045</v>
      </c>
      <c r="E36" s="1" t="s">
        <v>2046</v>
      </c>
      <c r="F36" s="1" t="s">
        <v>137</v>
      </c>
      <c r="G36" s="1"/>
      <c r="H36" s="1">
        <v>2012.0</v>
      </c>
      <c r="I36" s="1" t="s">
        <v>24</v>
      </c>
      <c r="J36" s="1" t="s">
        <v>2051</v>
      </c>
      <c r="K36" s="4" t="s">
        <v>2052</v>
      </c>
      <c r="L36" s="1" t="s">
        <v>1945</v>
      </c>
      <c r="N36" s="1" t="s">
        <v>23</v>
      </c>
    </row>
    <row r="37">
      <c r="A37" s="1">
        <v>9508.0</v>
      </c>
      <c r="B37" s="1" t="s">
        <v>2053</v>
      </c>
      <c r="C37" s="1" t="str">
        <f>IFERROR(__xludf.DUMMYFUNCTION("GOOGLETRANSLATE(B37)"),"NATIONAL ENERGY AND CLIMATE ACTION PLAN OF THE REPUBLIC OF LITHUANIA FOR 2021-2030")</f>
        <v>NATIONAL ENERGY AND CLIMATE ACTION PLAN OF THE REPUBLIC OF LITHUANIA FOR 2021-2030</v>
      </c>
      <c r="D37" s="1" t="s">
        <v>2045</v>
      </c>
      <c r="E37" s="1" t="s">
        <v>2046</v>
      </c>
      <c r="F37" s="1" t="s">
        <v>368</v>
      </c>
      <c r="G37" s="1"/>
      <c r="H37" s="1">
        <v>2021.0</v>
      </c>
      <c r="I37" s="1" t="s">
        <v>24</v>
      </c>
      <c r="J37" s="1" t="s">
        <v>2054</v>
      </c>
      <c r="K37" s="4" t="s">
        <v>2055</v>
      </c>
      <c r="L37" s="1" t="s">
        <v>1945</v>
      </c>
      <c r="N37" s="1" t="s">
        <v>23</v>
      </c>
    </row>
    <row r="38">
      <c r="A38" s="1">
        <v>9508.0</v>
      </c>
      <c r="B38" s="1" t="s">
        <v>2056</v>
      </c>
      <c r="C38" s="1" t="str">
        <f>IFERROR(__xludf.DUMMYFUNCTION("GOOGLETRANSLATE(B38)"),"National Action Plan of Energy and Climate of the Republic of Lithuania 2021-2030")</f>
        <v>National Action Plan of Energy and Climate of the Republic of Lithuania 2021-2030</v>
      </c>
      <c r="D38" s="1" t="s">
        <v>2045</v>
      </c>
      <c r="E38" s="1" t="s">
        <v>2046</v>
      </c>
      <c r="F38" s="1" t="s">
        <v>368</v>
      </c>
      <c r="G38" s="1"/>
      <c r="H38" s="1">
        <v>2021.0</v>
      </c>
      <c r="I38" s="1" t="s">
        <v>2047</v>
      </c>
      <c r="J38" s="1" t="s">
        <v>2057</v>
      </c>
      <c r="K38" s="4" t="s">
        <v>2058</v>
      </c>
      <c r="L38" s="1" t="s">
        <v>1945</v>
      </c>
      <c r="N38" s="1" t="s">
        <v>23</v>
      </c>
    </row>
    <row r="39">
      <c r="A39" s="1">
        <v>10504.0</v>
      </c>
      <c r="B39" s="1" t="s">
        <v>2059</v>
      </c>
      <c r="C39" s="1" t="str">
        <f>IFERROR(__xludf.DUMMYFUNCTION("GOOGLETRANSLATE(B39)"),"Lithuania’s recovery and resilience plan")</f>
        <v>Lithuania’s recovery and resilience plan</v>
      </c>
      <c r="D39" s="1" t="s">
        <v>2045</v>
      </c>
      <c r="E39" s="1" t="s">
        <v>2046</v>
      </c>
      <c r="F39" s="1" t="s">
        <v>234</v>
      </c>
      <c r="G39" s="1"/>
      <c r="H39" s="1">
        <v>2021.0</v>
      </c>
      <c r="I39" s="1" t="s">
        <v>24</v>
      </c>
      <c r="J39" s="1" t="s">
        <v>2060</v>
      </c>
      <c r="K39" s="4" t="s">
        <v>2061</v>
      </c>
      <c r="L39" s="1" t="s">
        <v>1945</v>
      </c>
      <c r="N39" s="1" t="s">
        <v>92</v>
      </c>
    </row>
    <row r="40">
      <c r="A40" s="1">
        <v>10504.0</v>
      </c>
      <c r="B40" s="1" t="s">
        <v>2062</v>
      </c>
      <c r="C40" s="1" t="str">
        <f>IFERROR(__xludf.DUMMYFUNCTION("GOOGLETRANSLATE(B40)"),"Lithuania’s recovery and resilience plan - additional documents")</f>
        <v>Lithuania’s recovery and resilience plan - additional documents</v>
      </c>
      <c r="D40" s="1" t="s">
        <v>2045</v>
      </c>
      <c r="E40" s="1" t="s">
        <v>2046</v>
      </c>
      <c r="F40" s="1" t="s">
        <v>234</v>
      </c>
      <c r="G40" s="1"/>
      <c r="H40" s="1">
        <v>2021.0</v>
      </c>
      <c r="I40" s="1" t="s">
        <v>24</v>
      </c>
      <c r="J40" s="4" t="s">
        <v>2063</v>
      </c>
      <c r="K40" s="4" t="s">
        <v>2064</v>
      </c>
      <c r="L40" s="1" t="s">
        <v>1945</v>
      </c>
      <c r="N40" s="1" t="s">
        <v>92</v>
      </c>
    </row>
    <row r="41">
      <c r="A41" s="1">
        <v>10504.0</v>
      </c>
      <c r="B41" s="1" t="s">
        <v>2065</v>
      </c>
      <c r="C41" s="18" t="s">
        <v>2066</v>
      </c>
      <c r="D41" s="1" t="s">
        <v>2045</v>
      </c>
      <c r="E41" s="1" t="s">
        <v>2046</v>
      </c>
      <c r="F41" s="1" t="s">
        <v>234</v>
      </c>
      <c r="G41" s="3"/>
      <c r="H41" s="3"/>
      <c r="I41" s="1" t="s">
        <v>2047</v>
      </c>
      <c r="J41" s="1" t="s">
        <v>2067</v>
      </c>
      <c r="K41" s="4" t="s">
        <v>2068</v>
      </c>
      <c r="L41" s="1" t="s">
        <v>1945</v>
      </c>
      <c r="N41" s="1" t="s">
        <v>23</v>
      </c>
    </row>
    <row r="42">
      <c r="A42" s="1">
        <v>10504.0</v>
      </c>
      <c r="B42" s="1" t="s">
        <v>2069</v>
      </c>
      <c r="C42" s="1" t="str">
        <f>IFERROR(__xludf.DUMMYFUNCTION("GOOGLETRANSLATE(B42)"),"Factsheet: Lithuania’s recovery and resilience plan")</f>
        <v>Factsheet: Lithuania’s recovery and resilience plan</v>
      </c>
      <c r="D42" s="1" t="s">
        <v>2045</v>
      </c>
      <c r="E42" s="1" t="s">
        <v>2046</v>
      </c>
      <c r="F42" s="1" t="s">
        <v>234</v>
      </c>
      <c r="G42" s="1"/>
      <c r="H42" s="1">
        <v>2021.0</v>
      </c>
      <c r="I42" s="1" t="s">
        <v>24</v>
      </c>
      <c r="J42" s="1" t="s">
        <v>2070</v>
      </c>
      <c r="K42" s="4" t="s">
        <v>2071</v>
      </c>
      <c r="L42" s="1" t="s">
        <v>1945</v>
      </c>
      <c r="N42" s="1" t="s">
        <v>92</v>
      </c>
    </row>
    <row r="43">
      <c r="A43" s="1">
        <v>8536.0</v>
      </c>
      <c r="B43" s="1" t="s">
        <v>2072</v>
      </c>
      <c r="C43" s="1" t="str">
        <f>IFERROR(__xludf.DUMMYFUNCTION("GOOGLETRANSLATE(B43)"),"Law of December 23, 2016 relating to an aid for climate loans")</f>
        <v>Law of December 23, 2016 relating to an aid for climate loans</v>
      </c>
      <c r="D43" s="1" t="s">
        <v>2073</v>
      </c>
      <c r="E43" s="1" t="s">
        <v>2074</v>
      </c>
      <c r="F43" s="1" t="s">
        <v>41</v>
      </c>
      <c r="G43" s="1"/>
      <c r="H43" s="1">
        <v>2016.0</v>
      </c>
      <c r="I43" s="1" t="s">
        <v>811</v>
      </c>
      <c r="J43" s="1" t="s">
        <v>2075</v>
      </c>
      <c r="K43" s="4" t="s">
        <v>2076</v>
      </c>
      <c r="L43" s="1" t="s">
        <v>1945</v>
      </c>
      <c r="N43" s="1" t="s">
        <v>229</v>
      </c>
    </row>
    <row r="44">
      <c r="A44" s="1">
        <v>8536.0</v>
      </c>
      <c r="B44" s="1" t="s">
        <v>2077</v>
      </c>
      <c r="C44" s="1" t="str">
        <f>IFERROR(__xludf.DUMMYFUNCTION("GOOGLETRANSLATE(B44)"),"Legislation collection: Climate bank package and sustainable housing")</f>
        <v>Legislation collection: Climate bank package and sustainable housing</v>
      </c>
      <c r="D44" s="1" t="s">
        <v>2073</v>
      </c>
      <c r="E44" s="1" t="s">
        <v>2074</v>
      </c>
      <c r="F44" s="1" t="s">
        <v>41</v>
      </c>
      <c r="G44" s="1"/>
      <c r="H44" s="1">
        <v>2016.0</v>
      </c>
      <c r="I44" s="1" t="s">
        <v>811</v>
      </c>
      <c r="J44" s="1" t="s">
        <v>2078</v>
      </c>
      <c r="K44" s="4" t="s">
        <v>2079</v>
      </c>
      <c r="L44" s="1" t="s">
        <v>1945</v>
      </c>
      <c r="N44" s="1" t="s">
        <v>2080</v>
      </c>
    </row>
    <row r="45">
      <c r="A45" s="1">
        <v>8536.0</v>
      </c>
      <c r="B45" s="1" t="s">
        <v>2077</v>
      </c>
      <c r="C45" s="1" t="str">
        <f>IFERROR(__xludf.DUMMYFUNCTION("GOOGLETRANSLATE(B45)"),"Legislation collection: Climate bank package and sustainable housing")</f>
        <v>Legislation collection: Climate bank package and sustainable housing</v>
      </c>
      <c r="D45" s="1" t="s">
        <v>2073</v>
      </c>
      <c r="E45" s="1" t="s">
        <v>2074</v>
      </c>
      <c r="F45" s="1" t="s">
        <v>41</v>
      </c>
      <c r="G45" s="1"/>
      <c r="H45" s="1">
        <v>2016.0</v>
      </c>
      <c r="I45" s="1" t="s">
        <v>811</v>
      </c>
      <c r="J45" s="1" t="s">
        <v>2081</v>
      </c>
      <c r="K45" s="4" t="s">
        <v>2082</v>
      </c>
      <c r="L45" s="1" t="s">
        <v>1945</v>
      </c>
      <c r="N45" s="1" t="s">
        <v>23</v>
      </c>
    </row>
    <row r="46">
      <c r="A46" s="1">
        <v>8537.0</v>
      </c>
      <c r="B46" s="1" t="s">
        <v>2083</v>
      </c>
      <c r="C46" s="1" t="str">
        <f>IFERROR(__xludf.DUMMYFUNCTION("GOOGLETRANSLATE(B46)"),"Law of September 13, 2012 bearing 1. Creation of a climate pact with municipalities 2. Modification of the modified law of May 31, 1999 relating to an environmental protection fund.")</f>
        <v>Law of September 13, 2012 bearing 1. Creation of a climate pact with municipalities 2. Modification of the modified law of May 31, 1999 relating to an environmental protection fund.</v>
      </c>
      <c r="D46" s="1" t="s">
        <v>2073</v>
      </c>
      <c r="E46" s="1" t="s">
        <v>2074</v>
      </c>
      <c r="F46" s="1" t="s">
        <v>41</v>
      </c>
      <c r="G46" s="1"/>
      <c r="H46" s="1">
        <v>2012.0</v>
      </c>
      <c r="I46" s="1" t="s">
        <v>811</v>
      </c>
      <c r="J46" s="1" t="s">
        <v>2084</v>
      </c>
      <c r="K46" s="4" t="s">
        <v>2085</v>
      </c>
      <c r="L46" s="1" t="s">
        <v>1945</v>
      </c>
      <c r="N46" s="1" t="s">
        <v>229</v>
      </c>
    </row>
    <row r="47">
      <c r="A47" s="1">
        <v>8537.0</v>
      </c>
      <c r="B47" s="1" t="s">
        <v>2086</v>
      </c>
      <c r="C47" s="1" t="str">
        <f>IFERROR(__xludf.DUMMYFUNCTION("GOOGLETRANSLATE(B47)"),"Law of March 29, 2016 modifying the law of September 13, 2012 creating a climate pact with the municipalities.")</f>
        <v>Law of March 29, 2016 modifying the law of September 13, 2012 creating a climate pact with the municipalities.</v>
      </c>
      <c r="D47" s="1" t="s">
        <v>2073</v>
      </c>
      <c r="E47" s="1" t="s">
        <v>2074</v>
      </c>
      <c r="F47" s="1" t="s">
        <v>41</v>
      </c>
      <c r="G47" s="1"/>
      <c r="H47" s="1">
        <v>2016.0</v>
      </c>
      <c r="I47" s="1" t="s">
        <v>811</v>
      </c>
      <c r="J47" s="1" t="s">
        <v>2087</v>
      </c>
      <c r="K47" s="4" t="s">
        <v>2088</v>
      </c>
      <c r="L47" s="1" t="s">
        <v>1945</v>
      </c>
      <c r="N47" s="1" t="s">
        <v>229</v>
      </c>
    </row>
    <row r="48">
      <c r="A48" s="1">
        <v>8537.0</v>
      </c>
      <c r="B48" s="9" t="s">
        <v>2089</v>
      </c>
      <c r="C48" s="1" t="str">
        <f>IFERROR(__xludf.DUMMYFUNCTION("GOOGLETRANSLATE(B48)"),"Law of March 29, 2016 modifying the law of September 13, 2012 creating a climate pact with the municipalities")</f>
        <v>Law of March 29, 2016 modifying the law of September 13, 2012 creating a climate pact with the municipalities</v>
      </c>
      <c r="D48" s="1" t="s">
        <v>2073</v>
      </c>
      <c r="E48" s="1" t="s">
        <v>2074</v>
      </c>
      <c r="F48" s="1" t="s">
        <v>41</v>
      </c>
      <c r="G48" s="1"/>
      <c r="H48" s="1">
        <v>2016.0</v>
      </c>
      <c r="I48" s="1" t="s">
        <v>811</v>
      </c>
      <c r="J48" s="1" t="s">
        <v>2090</v>
      </c>
      <c r="K48" s="4" t="s">
        <v>2091</v>
      </c>
      <c r="L48" s="1" t="s">
        <v>1945</v>
      </c>
      <c r="N48" s="1" t="s">
        <v>23</v>
      </c>
    </row>
    <row r="49">
      <c r="A49" s="1">
        <v>8542.0</v>
      </c>
      <c r="B49" s="1" t="s">
        <v>2092</v>
      </c>
      <c r="C49" s="1" t="str">
        <f>IFERROR(__xludf.DUMMYFUNCTION("GOOGLETRANSLATE(B49)"),"Law of June 19, 2015 modifying the modified law of August 1, 2007 relating to the organization of the natural gas market.")</f>
        <v>Law of June 19, 2015 modifying the modified law of August 1, 2007 relating to the organization of the natural gas market.</v>
      </c>
      <c r="D49" s="1" t="s">
        <v>2073</v>
      </c>
      <c r="E49" s="1" t="s">
        <v>2074</v>
      </c>
      <c r="F49" s="1" t="s">
        <v>41</v>
      </c>
      <c r="G49" s="1"/>
      <c r="H49" s="1">
        <v>2015.0</v>
      </c>
      <c r="I49" s="1" t="s">
        <v>811</v>
      </c>
      <c r="J49" s="1" t="s">
        <v>2093</v>
      </c>
      <c r="K49" s="4" t="s">
        <v>2094</v>
      </c>
      <c r="L49" s="1" t="s">
        <v>1945</v>
      </c>
      <c r="N49" s="1" t="s">
        <v>229</v>
      </c>
    </row>
    <row r="50">
      <c r="A50" s="1">
        <v>8542.0</v>
      </c>
      <c r="B50" s="1" t="s">
        <v>2095</v>
      </c>
      <c r="C50" s="1" t="str">
        <f>IFERROR(__xludf.DUMMYFUNCTION("GOOGLETRANSLATE(B50)"),"Legislation collection: Law of June 19, 2015 modifying the modified law of August 1, 2007 relating to the organization of the natural gas market")</f>
        <v>Legislation collection: Law of June 19, 2015 modifying the modified law of August 1, 2007 relating to the organization of the natural gas market</v>
      </c>
      <c r="D50" s="1" t="s">
        <v>2073</v>
      </c>
      <c r="E50" s="1" t="s">
        <v>2074</v>
      </c>
      <c r="F50" s="1" t="s">
        <v>41</v>
      </c>
      <c r="G50" s="1"/>
      <c r="H50" s="1">
        <v>2015.0</v>
      </c>
      <c r="I50" s="1" t="s">
        <v>811</v>
      </c>
      <c r="J50" s="1" t="s">
        <v>2096</v>
      </c>
      <c r="K50" s="4" t="s">
        <v>2097</v>
      </c>
      <c r="L50" s="1" t="s">
        <v>1945</v>
      </c>
      <c r="N50" s="1" t="s">
        <v>23</v>
      </c>
    </row>
    <row r="51">
      <c r="A51" s="1">
        <v>8543.0</v>
      </c>
      <c r="B51" s="1" t="s">
        <v>2098</v>
      </c>
      <c r="C51" s="1" t="str">
        <f>IFERROR(__xludf.DUMMYFUNCTION("GOOGLETRANSLATE(B51)"),"Law of August 27, 2012 a) relating to the geological storage of carbon dioxide b) modifying the modified law of December 19, 2008 relating to water C) modifying the law of April 20, 2009 relating to environmental responsibility.")</f>
        <v>Law of August 27, 2012 a) relating to the geological storage of carbon dioxide b) modifying the modified law of December 19, 2008 relating to water C) modifying the law of April 20, 2009 relating to environmental responsibility.</v>
      </c>
      <c r="D51" s="1" t="s">
        <v>2073</v>
      </c>
      <c r="E51" s="1" t="s">
        <v>2074</v>
      </c>
      <c r="F51" s="1" t="s">
        <v>41</v>
      </c>
      <c r="G51" s="1"/>
      <c r="H51" s="1">
        <v>2012.0</v>
      </c>
      <c r="I51" s="1" t="s">
        <v>811</v>
      </c>
      <c r="J51" s="1" t="s">
        <v>2099</v>
      </c>
      <c r="K51" s="4" t="s">
        <v>2100</v>
      </c>
      <c r="L51" s="1" t="s">
        <v>1945</v>
      </c>
      <c r="N51" s="1" t="s">
        <v>229</v>
      </c>
    </row>
    <row r="52">
      <c r="A52" s="1">
        <v>8543.0</v>
      </c>
      <c r="B52" s="1" t="s">
        <v>2101</v>
      </c>
      <c r="C52" s="1" t="str">
        <f>IFERROR(__xludf.DUMMYFUNCTION("GOOGLETRANSLATE(B52)"),"Legislation collection: geological storage of carbon dioxide")</f>
        <v>Legislation collection: geological storage of carbon dioxide</v>
      </c>
      <c r="D52" s="1" t="s">
        <v>2073</v>
      </c>
      <c r="E52" s="1" t="s">
        <v>2074</v>
      </c>
      <c r="F52" s="1" t="s">
        <v>41</v>
      </c>
      <c r="G52" s="1"/>
      <c r="H52" s="1">
        <v>2012.0</v>
      </c>
      <c r="I52" s="1" t="s">
        <v>811</v>
      </c>
      <c r="J52" s="1" t="s">
        <v>2102</v>
      </c>
      <c r="K52" s="4" t="s">
        <v>2103</v>
      </c>
      <c r="L52" s="1" t="s">
        <v>1945</v>
      </c>
      <c r="N52" s="1" t="s">
        <v>23</v>
      </c>
    </row>
    <row r="53">
      <c r="A53" s="1">
        <v>8544.0</v>
      </c>
      <c r="B53" s="1" t="s">
        <v>2104</v>
      </c>
      <c r="C53" s="1" t="str">
        <f>IFERROR(__xludf.DUMMYFUNCTION("GOOGLETRANSLATE(B53)"),"Law of December 15, 2017 concerning the budget for state revenue and expenditure for the 2018 financial year")</f>
        <v>Law of December 15, 2017 concerning the budget for state revenue and expenditure for the 2018 financial year</v>
      </c>
      <c r="D53" s="1" t="s">
        <v>2073</v>
      </c>
      <c r="E53" s="1" t="s">
        <v>2074</v>
      </c>
      <c r="F53" s="1" t="s">
        <v>41</v>
      </c>
      <c r="G53" s="1"/>
      <c r="H53" s="1">
        <v>2017.0</v>
      </c>
      <c r="I53" s="1" t="s">
        <v>811</v>
      </c>
      <c r="J53" s="1" t="s">
        <v>2105</v>
      </c>
      <c r="K53" s="4" t="s">
        <v>2106</v>
      </c>
      <c r="L53" s="1" t="s">
        <v>1945</v>
      </c>
      <c r="N53" s="1" t="s">
        <v>23</v>
      </c>
    </row>
    <row r="54">
      <c r="A54" s="1">
        <v>8544.0</v>
      </c>
      <c r="B54" s="9" t="s">
        <v>2107</v>
      </c>
      <c r="C54" s="1" t="str">
        <f>IFERROR(__xludf.DUMMYFUNCTION("GOOGLETRANSLATE(B54)"),"Law of December 15, 2017 concerning the budget for state revenue and expenditure for the 2018 financial year and amending")</f>
        <v>Law of December 15, 2017 concerning the budget for state revenue and expenditure for the 2018 financial year and amending</v>
      </c>
      <c r="D54" s="1" t="s">
        <v>2073</v>
      </c>
      <c r="E54" s="1" t="s">
        <v>2074</v>
      </c>
      <c r="F54" s="1" t="s">
        <v>41</v>
      </c>
      <c r="G54" s="1"/>
      <c r="H54" s="1">
        <v>2017.0</v>
      </c>
      <c r="I54" s="1" t="s">
        <v>811</v>
      </c>
      <c r="J54" s="1" t="s">
        <v>2108</v>
      </c>
      <c r="K54" s="4" t="s">
        <v>2109</v>
      </c>
      <c r="L54" s="1" t="s">
        <v>1945</v>
      </c>
      <c r="N54" s="1" t="s">
        <v>229</v>
      </c>
    </row>
    <row r="55">
      <c r="A55" s="1">
        <v>9443.0</v>
      </c>
      <c r="B55" s="1" t="s">
        <v>2110</v>
      </c>
      <c r="C55" s="18" t="s">
        <v>2111</v>
      </c>
      <c r="D55" s="1" t="s">
        <v>2073</v>
      </c>
      <c r="E55" s="1" t="s">
        <v>2074</v>
      </c>
      <c r="F55" s="9" t="s">
        <v>1532</v>
      </c>
      <c r="G55" s="1" t="s">
        <v>234</v>
      </c>
      <c r="H55" s="1">
        <v>2020.0</v>
      </c>
      <c r="I55" s="1" t="s">
        <v>2112</v>
      </c>
      <c r="J55" s="1" t="s">
        <v>2113</v>
      </c>
      <c r="K55" s="4" t="s">
        <v>2114</v>
      </c>
      <c r="L55" s="1" t="s">
        <v>1945</v>
      </c>
      <c r="N55" s="1" t="s">
        <v>92</v>
      </c>
    </row>
    <row r="56">
      <c r="A56" s="1">
        <v>9443.0</v>
      </c>
      <c r="B56" s="1" t="s">
        <v>2115</v>
      </c>
      <c r="C56" s="1" t="str">
        <f>IFERROR(__xludf.DUMMYFUNCTION("GOOGLETRANSLATE(B56)"),"New bicycle premium: exceptional boost for soft mobility")</f>
        <v>New bicycle premium: exceptional boost for soft mobility</v>
      </c>
      <c r="D56" s="1" t="s">
        <v>2073</v>
      </c>
      <c r="E56" s="1" t="s">
        <v>2074</v>
      </c>
      <c r="F56" s="9" t="s">
        <v>407</v>
      </c>
      <c r="G56" s="1"/>
      <c r="H56" s="1">
        <v>2020.0</v>
      </c>
      <c r="I56" s="1" t="s">
        <v>811</v>
      </c>
      <c r="J56" s="1" t="s">
        <v>2116</v>
      </c>
      <c r="K56" s="4" t="s">
        <v>2117</v>
      </c>
      <c r="L56" s="1" t="s">
        <v>1945</v>
      </c>
      <c r="N56" s="1" t="s">
        <v>275</v>
      </c>
    </row>
    <row r="57">
      <c r="A57" s="1">
        <v>9509.0</v>
      </c>
      <c r="B57" s="1" t="s">
        <v>2118</v>
      </c>
      <c r="C57" s="1" t="str">
        <f>IFERROR(__xludf.DUMMYFUNCTION("GOOGLETRANSLATE(B57)"),"LUXEMBOURG’S INTEGRATED NATIONAL ENERGY AND CLIMATE PLAN FOR 2021-2030")</f>
        <v>LUXEMBOURG’S INTEGRATED NATIONAL ENERGY AND CLIMATE PLAN FOR 2021-2030</v>
      </c>
      <c r="D57" s="1" t="s">
        <v>2073</v>
      </c>
      <c r="E57" s="1" t="s">
        <v>2074</v>
      </c>
      <c r="F57" s="1" t="s">
        <v>234</v>
      </c>
      <c r="G57" s="1"/>
      <c r="H57" s="1">
        <v>2018.0</v>
      </c>
      <c r="I57" s="1" t="s">
        <v>24</v>
      </c>
      <c r="J57" s="1" t="s">
        <v>2119</v>
      </c>
      <c r="K57" s="4" t="s">
        <v>2120</v>
      </c>
      <c r="L57" s="1" t="s">
        <v>1945</v>
      </c>
      <c r="N57" s="1" t="s">
        <v>23</v>
      </c>
    </row>
    <row r="58">
      <c r="A58" s="1">
        <v>9509.0</v>
      </c>
      <c r="B58" s="1" t="s">
        <v>2121</v>
      </c>
      <c r="C58" s="1" t="str">
        <f>IFERROR(__xludf.DUMMYFUNCTION("GOOGLETRANSLATE(B58)"),"Integrated National Energy and Climate Plan Luxembourg for the period 2021-2030")</f>
        <v>Integrated National Energy and Climate Plan Luxembourg for the period 2021-2030</v>
      </c>
      <c r="D58" s="1" t="s">
        <v>2073</v>
      </c>
      <c r="E58" s="1" t="s">
        <v>2074</v>
      </c>
      <c r="F58" s="1" t="s">
        <v>234</v>
      </c>
      <c r="G58" s="1"/>
      <c r="H58" s="1">
        <v>2018.0</v>
      </c>
      <c r="I58" s="1" t="s">
        <v>1470</v>
      </c>
      <c r="J58" s="1" t="s">
        <v>2122</v>
      </c>
      <c r="K58" s="4" t="s">
        <v>2123</v>
      </c>
      <c r="L58" s="1" t="s">
        <v>1945</v>
      </c>
      <c r="N58" s="1" t="s">
        <v>23</v>
      </c>
    </row>
    <row r="59">
      <c r="A59" s="1">
        <v>9509.0</v>
      </c>
      <c r="B59" s="1" t="s">
        <v>2124</v>
      </c>
      <c r="C59" s="1" t="str">
        <f>IFERROR(__xludf.DUMMYFUNCTION("GOOGLETRANSLATE(B59)"),"Integrated national plan in terms of Luxembourg energy and climate for the period 2021-2030")</f>
        <v>Integrated national plan in terms of Luxembourg energy and climate for the period 2021-2030</v>
      </c>
      <c r="D59" s="1" t="s">
        <v>2073</v>
      </c>
      <c r="E59" s="1" t="s">
        <v>2074</v>
      </c>
      <c r="F59" s="1" t="s">
        <v>234</v>
      </c>
      <c r="G59" s="1"/>
      <c r="H59" s="1">
        <v>2018.0</v>
      </c>
      <c r="I59" s="1" t="s">
        <v>811</v>
      </c>
      <c r="J59" s="1" t="s">
        <v>2125</v>
      </c>
      <c r="K59" s="4" t="s">
        <v>2126</v>
      </c>
      <c r="L59" s="1" t="s">
        <v>1945</v>
      </c>
      <c r="N59" s="1" t="s">
        <v>23</v>
      </c>
    </row>
    <row r="60">
      <c r="A60" s="1">
        <v>10505.0</v>
      </c>
      <c r="B60" s="1" t="s">
        <v>2127</v>
      </c>
      <c r="C60" s="1" t="str">
        <f>IFERROR(__xludf.DUMMYFUNCTION("GOOGLETRANSLATE(B60)"),"Luxembourg’s recovery and resilience plan")</f>
        <v>Luxembourg’s recovery and resilience plan</v>
      </c>
      <c r="D60" s="1" t="s">
        <v>2073</v>
      </c>
      <c r="E60" s="1" t="s">
        <v>2074</v>
      </c>
      <c r="F60" s="1" t="s">
        <v>234</v>
      </c>
      <c r="G60" s="1"/>
      <c r="H60" s="1">
        <v>2021.0</v>
      </c>
      <c r="I60" s="1" t="s">
        <v>24</v>
      </c>
      <c r="J60" s="1" t="s">
        <v>2128</v>
      </c>
      <c r="K60" s="4" t="s">
        <v>2129</v>
      </c>
      <c r="L60" s="1" t="s">
        <v>1945</v>
      </c>
      <c r="N60" s="1" t="s">
        <v>92</v>
      </c>
    </row>
    <row r="61">
      <c r="A61" s="1">
        <v>10505.0</v>
      </c>
      <c r="B61" s="1" t="s">
        <v>2130</v>
      </c>
      <c r="C61" s="1" t="str">
        <f>IFERROR(__xludf.DUMMYFUNCTION("GOOGLETRANSLATE(B61)"),"Annex of the Execution Decision of the Council regarding the approval of the evaluation of the Luxembourg Recovery and Resilience Plan")</f>
        <v>Annex of the Execution Decision of the Council regarding the approval of the evaluation of the Luxembourg Recovery and Resilience Plan</v>
      </c>
      <c r="D61" s="1" t="s">
        <v>2073</v>
      </c>
      <c r="E61" s="1" t="s">
        <v>2074</v>
      </c>
      <c r="F61" s="1" t="s">
        <v>234</v>
      </c>
      <c r="G61" s="1"/>
      <c r="H61" s="1">
        <v>2021.0</v>
      </c>
      <c r="I61" s="9" t="s">
        <v>24</v>
      </c>
      <c r="J61" s="4" t="s">
        <v>2131</v>
      </c>
      <c r="K61" s="4" t="s">
        <v>2132</v>
      </c>
      <c r="L61" s="1" t="s">
        <v>1945</v>
      </c>
      <c r="N61" s="1" t="s">
        <v>92</v>
      </c>
    </row>
    <row r="62">
      <c r="A62" s="1">
        <v>10505.0</v>
      </c>
      <c r="B62" s="1" t="s">
        <v>2133</v>
      </c>
      <c r="C62" s="1" t="str">
        <f>IFERROR(__xludf.DUMMYFUNCTION("GOOGLETRANSLATE(B62)"),"Plan for recovery and resilience")</f>
        <v>Plan for recovery and resilience</v>
      </c>
      <c r="D62" s="1" t="s">
        <v>2073</v>
      </c>
      <c r="E62" s="1" t="s">
        <v>2074</v>
      </c>
      <c r="F62" s="1" t="s">
        <v>234</v>
      </c>
      <c r="G62" s="1"/>
      <c r="H62" s="1">
        <v>2021.0</v>
      </c>
      <c r="I62" s="1" t="s">
        <v>811</v>
      </c>
      <c r="J62" s="1" t="s">
        <v>2134</v>
      </c>
      <c r="K62" s="4" t="s">
        <v>2135</v>
      </c>
      <c r="L62" s="1" t="s">
        <v>1945</v>
      </c>
      <c r="N62" s="1" t="s">
        <v>92</v>
      </c>
    </row>
    <row r="63">
      <c r="A63" s="1">
        <v>10505.0</v>
      </c>
      <c r="B63" s="1" t="s">
        <v>2136</v>
      </c>
      <c r="C63" s="1" t="str">
        <f>IFERROR(__xludf.DUMMYFUNCTION("GOOGLETRANSLATE(B63)"),"Factsheet: Luxembourg’s recovery and resilience plan")</f>
        <v>Factsheet: Luxembourg’s recovery and resilience plan</v>
      </c>
      <c r="D63" s="1" t="s">
        <v>2073</v>
      </c>
      <c r="E63" s="1" t="s">
        <v>2074</v>
      </c>
      <c r="F63" s="1" t="s">
        <v>234</v>
      </c>
      <c r="G63" s="1"/>
      <c r="H63" s="1">
        <v>2021.0</v>
      </c>
      <c r="I63" s="1" t="s">
        <v>24</v>
      </c>
      <c r="J63" s="1" t="s">
        <v>2137</v>
      </c>
      <c r="K63" s="4" t="s">
        <v>2138</v>
      </c>
      <c r="L63" s="1" t="s">
        <v>1945</v>
      </c>
      <c r="N63" s="1" t="s">
        <v>92</v>
      </c>
    </row>
    <row r="64">
      <c r="A64" s="1">
        <v>10505.0</v>
      </c>
      <c r="B64" s="1" t="s">
        <v>2139</v>
      </c>
      <c r="C64" s="1" t="str">
        <f>IFERROR(__xludf.DUMMYFUNCTION("GOOGLETRANSLATE(B64)"),"Recovery and resilience plan for Luxembourg")</f>
        <v>Recovery and resilience plan for Luxembourg</v>
      </c>
      <c r="D64" s="1" t="s">
        <v>2073</v>
      </c>
      <c r="E64" s="1" t="s">
        <v>2074</v>
      </c>
      <c r="F64" s="1" t="s">
        <v>234</v>
      </c>
      <c r="G64" s="1"/>
      <c r="H64" s="1">
        <v>2021.0</v>
      </c>
      <c r="I64" s="1" t="s">
        <v>811</v>
      </c>
      <c r="J64" s="1" t="s">
        <v>2140</v>
      </c>
      <c r="K64" s="4" t="s">
        <v>2141</v>
      </c>
      <c r="L64" s="1" t="s">
        <v>1945</v>
      </c>
      <c r="N64" s="1" t="s">
        <v>92</v>
      </c>
    </row>
    <row r="65">
      <c r="A65" s="1">
        <v>1437.0</v>
      </c>
      <c r="B65" s="1" t="s">
        <v>2142</v>
      </c>
      <c r="C65" s="1" t="str">
        <f>IFERROR(__xludf.DUMMYFUNCTION("GOOGLETRANSLATE(B65)"),"Renewable Energy Act 2011")</f>
        <v>Renewable Energy Act 2011</v>
      </c>
      <c r="D65" s="1" t="s">
        <v>2143</v>
      </c>
      <c r="E65" s="1" t="s">
        <v>2144</v>
      </c>
      <c r="F65" s="1" t="s">
        <v>45</v>
      </c>
      <c r="G65" s="1"/>
      <c r="H65" s="1">
        <v>2011.0</v>
      </c>
      <c r="I65" s="1" t="s">
        <v>24</v>
      </c>
      <c r="J65" s="1" t="s">
        <v>2145</v>
      </c>
      <c r="K65" s="4" t="s">
        <v>2146</v>
      </c>
      <c r="L65" s="1" t="s">
        <v>1945</v>
      </c>
      <c r="N65" s="1" t="s">
        <v>23</v>
      </c>
    </row>
    <row r="66">
      <c r="A66" s="1">
        <v>1437.0</v>
      </c>
      <c r="B66" s="1" t="s">
        <v>2147</v>
      </c>
      <c r="C66" s="1" t="str">
        <f>IFERROR(__xludf.DUMMYFUNCTION("GOOGLETRANSLATE(B66)"),"New Energy Order (Table Amendment) (No. 2) 2015")</f>
        <v>New Energy Order (Table Amendment) (No. 2) 2015</v>
      </c>
      <c r="D66" s="1" t="s">
        <v>2143</v>
      </c>
      <c r="E66" s="1" t="s">
        <v>2144</v>
      </c>
      <c r="F66" s="1" t="s">
        <v>1340</v>
      </c>
      <c r="G66" s="1"/>
      <c r="H66" s="1">
        <v>2015.0</v>
      </c>
      <c r="I66" s="1" t="s">
        <v>1470</v>
      </c>
      <c r="J66" s="1" t="s">
        <v>2148</v>
      </c>
      <c r="K66" s="4" t="s">
        <v>2149</v>
      </c>
      <c r="L66" s="1" t="s">
        <v>1945</v>
      </c>
      <c r="N66" s="1" t="s">
        <v>23</v>
      </c>
    </row>
    <row r="67">
      <c r="A67" s="1">
        <v>1442.0</v>
      </c>
      <c r="B67" s="1" t="s">
        <v>2150</v>
      </c>
      <c r="C67" s="1" t="str">
        <f>IFERROR(__xludf.DUMMYFUNCTION("GOOGLETRANSLATE(B67)"),"ELECTRICITY SUPPLY ACT 1990")</f>
        <v>ELECTRICITY SUPPLY ACT 1990</v>
      </c>
      <c r="D67" s="1" t="s">
        <v>2143</v>
      </c>
      <c r="E67" s="1" t="s">
        <v>2144</v>
      </c>
      <c r="F67" s="1" t="s">
        <v>45</v>
      </c>
      <c r="G67" s="1"/>
      <c r="H67" s="1">
        <v>1990.0</v>
      </c>
      <c r="I67" s="1" t="s">
        <v>24</v>
      </c>
      <c r="J67" s="1" t="s">
        <v>2151</v>
      </c>
      <c r="K67" s="4" t="s">
        <v>2152</v>
      </c>
      <c r="L67" s="1" t="s">
        <v>1945</v>
      </c>
      <c r="N67" s="1" t="s">
        <v>23</v>
      </c>
    </row>
    <row r="68">
      <c r="A68" s="1">
        <v>1442.0</v>
      </c>
      <c r="B68" s="1" t="s">
        <v>2153</v>
      </c>
      <c r="C68" s="1" t="str">
        <f>IFERROR(__xludf.DUMMYFUNCTION("GOOGLETRANSLATE(B68)"),"ELECTRICITY SUPPLY (AMENDMENT) ACT 2015")</f>
        <v>ELECTRICITY SUPPLY (AMENDMENT) ACT 2015</v>
      </c>
      <c r="D68" s="1" t="s">
        <v>2143</v>
      </c>
      <c r="E68" s="1" t="s">
        <v>2144</v>
      </c>
      <c r="F68" s="1" t="s">
        <v>45</v>
      </c>
      <c r="G68" s="1"/>
      <c r="H68" s="1">
        <v>2015.0</v>
      </c>
      <c r="I68" s="1" t="s">
        <v>24</v>
      </c>
      <c r="J68" s="1" t="s">
        <v>2154</v>
      </c>
      <c r="K68" s="4" t="s">
        <v>2155</v>
      </c>
      <c r="L68" s="1" t="s">
        <v>1945</v>
      </c>
      <c r="N68" s="1" t="s">
        <v>23</v>
      </c>
    </row>
    <row r="69">
      <c r="A69" s="1">
        <v>8583.0</v>
      </c>
      <c r="B69" s="1" t="s">
        <v>2156</v>
      </c>
      <c r="C69" s="1" t="str">
        <f>IFERROR(__xludf.DUMMYFUNCTION("GOOGLETRANSLATE(B69)"),"Climate Change Policy Framework")</f>
        <v>Climate Change Policy Framework</v>
      </c>
      <c r="D69" s="1" t="s">
        <v>2157</v>
      </c>
      <c r="E69" s="1" t="s">
        <v>2158</v>
      </c>
      <c r="F69" s="1" t="s">
        <v>259</v>
      </c>
      <c r="G69" s="1"/>
      <c r="H69" s="1">
        <v>2015.0</v>
      </c>
      <c r="I69" s="1" t="s">
        <v>24</v>
      </c>
      <c r="J69" s="1" t="s">
        <v>2159</v>
      </c>
      <c r="K69" s="4" t="s">
        <v>2160</v>
      </c>
      <c r="L69" s="1" t="s">
        <v>1945</v>
      </c>
      <c r="N69" s="1" t="s">
        <v>326</v>
      </c>
    </row>
    <row r="70">
      <c r="A70" s="1">
        <v>8583.0</v>
      </c>
      <c r="B70" s="1" t="s">
        <v>2156</v>
      </c>
      <c r="C70" s="1" t="str">
        <f>IFERROR(__xludf.DUMMYFUNCTION("GOOGLETRANSLATE(B70)"),"Climate Change Policy Framework")</f>
        <v>Climate Change Policy Framework</v>
      </c>
      <c r="D70" s="1" t="s">
        <v>2157</v>
      </c>
      <c r="E70" s="1" t="s">
        <v>2158</v>
      </c>
      <c r="F70" s="1" t="s">
        <v>259</v>
      </c>
      <c r="G70" s="1"/>
      <c r="H70" s="1">
        <v>2015.0</v>
      </c>
      <c r="I70" s="1" t="s">
        <v>24</v>
      </c>
      <c r="J70" s="1" t="s">
        <v>2161</v>
      </c>
      <c r="K70" s="4" t="s">
        <v>2162</v>
      </c>
      <c r="L70" s="1" t="s">
        <v>1945</v>
      </c>
      <c r="N70" s="1" t="s">
        <v>37</v>
      </c>
    </row>
    <row r="71">
      <c r="A71" s="1">
        <v>10506.0</v>
      </c>
      <c r="B71" s="1" t="s">
        <v>2163</v>
      </c>
      <c r="C71" s="1" t="str">
        <f>IFERROR(__xludf.DUMMYFUNCTION("GOOGLETRANSLATE(B71)"),"COUNCIL IMPLEMENTING DECISION on the approval of the assessment of the recovery and resilience plan for Malta")</f>
        <v>COUNCIL IMPLEMENTING DECISION on the approval of the assessment of the recovery and resilience plan for Malta</v>
      </c>
      <c r="D71" s="1" t="s">
        <v>2164</v>
      </c>
      <c r="E71" s="1" t="s">
        <v>2165</v>
      </c>
      <c r="F71" s="9" t="s">
        <v>247</v>
      </c>
      <c r="G71" s="1"/>
      <c r="H71" s="1">
        <v>2021.0</v>
      </c>
      <c r="I71" s="9" t="s">
        <v>24</v>
      </c>
      <c r="J71" s="4" t="s">
        <v>2166</v>
      </c>
      <c r="K71" s="4" t="s">
        <v>2167</v>
      </c>
      <c r="L71" s="1" t="s">
        <v>1945</v>
      </c>
      <c r="N71" s="1" t="s">
        <v>326</v>
      </c>
    </row>
    <row r="72">
      <c r="A72" s="1">
        <v>10506.0</v>
      </c>
      <c r="B72" s="1" t="s">
        <v>2168</v>
      </c>
      <c r="C72" s="1" t="str">
        <f>IFERROR(__xludf.DUMMYFUNCTION("GOOGLETRANSLATE(B72)"),"ANNEX to the Council Implementing Decision on the approval of the assessment of the recovery and resilience plan for Malta")</f>
        <v>ANNEX to the Council Implementing Decision on the approval of the assessment of the recovery and resilience plan for Malta</v>
      </c>
      <c r="D72" s="1" t="s">
        <v>2164</v>
      </c>
      <c r="E72" s="1" t="s">
        <v>2165</v>
      </c>
      <c r="F72" s="9" t="s">
        <v>247</v>
      </c>
      <c r="G72" s="1"/>
      <c r="H72" s="1">
        <v>2021.0</v>
      </c>
      <c r="I72" s="9" t="s">
        <v>24</v>
      </c>
      <c r="J72" s="4" t="s">
        <v>2169</v>
      </c>
      <c r="K72" s="4" t="s">
        <v>2170</v>
      </c>
      <c r="L72" s="1" t="s">
        <v>1945</v>
      </c>
      <c r="N72" s="1" t="s">
        <v>326</v>
      </c>
    </row>
    <row r="73">
      <c r="A73" s="1">
        <v>10506.0</v>
      </c>
      <c r="B73" s="1" t="s">
        <v>2171</v>
      </c>
      <c r="C73" s="1" t="str">
        <f>IFERROR(__xludf.DUMMYFUNCTION("GOOGLETRANSLATE(B73)"),"Recovery and Resilience Facility")</f>
        <v>Recovery and Resilience Facility</v>
      </c>
      <c r="D73" s="1" t="s">
        <v>2164</v>
      </c>
      <c r="E73" s="1" t="s">
        <v>2165</v>
      </c>
      <c r="F73" s="9" t="s">
        <v>234</v>
      </c>
      <c r="G73" s="1"/>
      <c r="H73" s="1">
        <v>2021.0</v>
      </c>
      <c r="I73" s="1" t="s">
        <v>24</v>
      </c>
      <c r="J73" s="1" t="s">
        <v>2172</v>
      </c>
      <c r="K73" s="4" t="s">
        <v>2173</v>
      </c>
      <c r="L73" s="1" t="s">
        <v>1945</v>
      </c>
      <c r="N73" s="1" t="s">
        <v>275</v>
      </c>
    </row>
    <row r="74">
      <c r="A74" s="1">
        <v>10506.0</v>
      </c>
      <c r="B74" s="1" t="s">
        <v>2174</v>
      </c>
      <c r="C74" s="1" t="str">
        <f>IFERROR(__xludf.DUMMYFUNCTION("GOOGLETRANSLATE(B74)"),"Malta’s recovery and resilience")</f>
        <v>Malta’s recovery and resilience</v>
      </c>
      <c r="D74" s="1" t="s">
        <v>2164</v>
      </c>
      <c r="E74" s="1" t="s">
        <v>2165</v>
      </c>
      <c r="F74" s="9" t="s">
        <v>234</v>
      </c>
      <c r="G74" s="3"/>
      <c r="H74" s="3"/>
      <c r="I74" s="1" t="s">
        <v>24</v>
      </c>
      <c r="J74" s="1" t="s">
        <v>2175</v>
      </c>
      <c r="K74" s="4" t="s">
        <v>2176</v>
      </c>
      <c r="L74" s="1" t="s">
        <v>1945</v>
      </c>
      <c r="N74" s="1" t="s">
        <v>92</v>
      </c>
    </row>
    <row r="75">
      <c r="A75" s="1">
        <v>10506.0</v>
      </c>
      <c r="B75" s="1" t="s">
        <v>2177</v>
      </c>
      <c r="C75" s="1" t="str">
        <f>IFERROR(__xludf.DUMMYFUNCTION("GOOGLETRANSLATE(B75)"),"Malta’s Recovery &amp; Resilience Plan")</f>
        <v>Malta’s Recovery &amp; Resilience Plan</v>
      </c>
      <c r="D75" s="1" t="s">
        <v>2164</v>
      </c>
      <c r="E75" s="1" t="s">
        <v>2165</v>
      </c>
      <c r="F75" s="1" t="s">
        <v>234</v>
      </c>
      <c r="G75" s="1"/>
      <c r="H75" s="1">
        <v>2021.0</v>
      </c>
      <c r="I75" s="1" t="s">
        <v>24</v>
      </c>
      <c r="J75" s="1" t="s">
        <v>2178</v>
      </c>
      <c r="K75" s="4" t="s">
        <v>2179</v>
      </c>
      <c r="L75" s="1" t="s">
        <v>1945</v>
      </c>
      <c r="N75" s="1" t="s">
        <v>275</v>
      </c>
    </row>
    <row r="76">
      <c r="A76" s="1">
        <v>10506.0</v>
      </c>
      <c r="B76" s="1" t="s">
        <v>2180</v>
      </c>
      <c r="C76" s="1" t="str">
        <f>IFERROR(__xludf.DUMMYFUNCTION("GOOGLETRANSLATE(B76)"),"LAYING THE FOUNDATIONS FOR RECOVERY: MALTA")</f>
        <v>LAYING THE FOUNDATIONS FOR RECOVERY: MALTA</v>
      </c>
      <c r="D76" s="1" t="s">
        <v>2164</v>
      </c>
      <c r="E76" s="1" t="s">
        <v>2165</v>
      </c>
      <c r="F76" s="1" t="s">
        <v>234</v>
      </c>
      <c r="G76" s="1"/>
      <c r="H76" s="1">
        <v>2021.0</v>
      </c>
      <c r="I76" s="1" t="s">
        <v>24</v>
      </c>
      <c r="J76" s="1" t="s">
        <v>2181</v>
      </c>
      <c r="K76" s="4" t="s">
        <v>2182</v>
      </c>
      <c r="L76" s="1" t="s">
        <v>1945</v>
      </c>
      <c r="N76" s="1" t="s">
        <v>23</v>
      </c>
    </row>
    <row r="77">
      <c r="A77" s="1">
        <v>8582.0</v>
      </c>
      <c r="B77" s="1" t="s">
        <v>2183</v>
      </c>
      <c r="C77" s="1" t="str">
        <f>IFERROR(__xludf.DUMMYFUNCTION("GOOGLETRANSLATE(B77)"),"Republic of the Marshall Islands Joint National Action Plan for Climate Change Adaptation &amp; Disaster Risk Management 2014 - 2018")</f>
        <v>Republic of the Marshall Islands Joint National Action Plan for Climate Change Adaptation &amp; Disaster Risk Management 2014 - 2018</v>
      </c>
      <c r="D77" s="1" t="s">
        <v>2184</v>
      </c>
      <c r="E77" s="1" t="s">
        <v>2185</v>
      </c>
      <c r="F77" s="1" t="s">
        <v>368</v>
      </c>
      <c r="G77" s="1"/>
      <c r="H77" s="1">
        <v>2014.0</v>
      </c>
      <c r="I77" s="1" t="s">
        <v>24</v>
      </c>
      <c r="J77" s="1" t="s">
        <v>2186</v>
      </c>
      <c r="K77" s="4" t="s">
        <v>2187</v>
      </c>
      <c r="L77" s="1" t="s">
        <v>1945</v>
      </c>
      <c r="N77" s="1" t="s">
        <v>23</v>
      </c>
    </row>
    <row r="78">
      <c r="A78" s="1">
        <v>8582.0</v>
      </c>
      <c r="B78" s="1" t="s">
        <v>2183</v>
      </c>
      <c r="C78" s="1" t="str">
        <f>IFERROR(__xludf.DUMMYFUNCTION("GOOGLETRANSLATE(B78)"),"Republic of the Marshall Islands Joint National Action Plan for Climate Change Adaptation &amp; Disaster Risk Management 2014 - 2018")</f>
        <v>Republic of the Marshall Islands Joint National Action Plan for Climate Change Adaptation &amp; Disaster Risk Management 2014 - 2018</v>
      </c>
      <c r="D78" s="1" t="s">
        <v>2184</v>
      </c>
      <c r="E78" s="1" t="s">
        <v>2185</v>
      </c>
      <c r="F78" s="1" t="s">
        <v>368</v>
      </c>
      <c r="G78" s="1"/>
      <c r="H78" s="1">
        <v>2014.0</v>
      </c>
      <c r="I78" s="1" t="s">
        <v>24</v>
      </c>
      <c r="J78" s="1" t="s">
        <v>2188</v>
      </c>
      <c r="K78" s="4" t="s">
        <v>2189</v>
      </c>
      <c r="L78" s="1" t="s">
        <v>1945</v>
      </c>
      <c r="N78" s="1" t="s">
        <v>23</v>
      </c>
    </row>
    <row r="79">
      <c r="A79" s="1">
        <v>10366.0</v>
      </c>
      <c r="B79" s="1" t="s">
        <v>2190</v>
      </c>
      <c r="C79" s="1" t="str">
        <f>IFERROR(__xludf.DUMMYFUNCTION("GOOGLETRANSLATE(B79)"),"Budget Speech 2019-2020")</f>
        <v>Budget Speech 2019-2020</v>
      </c>
      <c r="D79" s="1" t="s">
        <v>2191</v>
      </c>
      <c r="E79" s="1" t="s">
        <v>2192</v>
      </c>
      <c r="F79" s="9" t="s">
        <v>89</v>
      </c>
      <c r="G79" s="1" t="s">
        <v>234</v>
      </c>
      <c r="H79" s="1">
        <v>2019.0</v>
      </c>
      <c r="I79" s="1" t="s">
        <v>24</v>
      </c>
      <c r="J79" s="1" t="s">
        <v>2193</v>
      </c>
      <c r="K79" s="4" t="s">
        <v>2194</v>
      </c>
      <c r="L79" s="1" t="s">
        <v>1945</v>
      </c>
      <c r="N79" s="1" t="s">
        <v>23</v>
      </c>
    </row>
    <row r="80">
      <c r="A80" s="1">
        <v>10366.0</v>
      </c>
      <c r="B80" s="1" t="s">
        <v>2195</v>
      </c>
      <c r="C80" s="1" t="str">
        <f>IFERROR(__xludf.DUMMYFUNCTION("GOOGLETRANSLATE(B80)"),"THREE YEAR STRATEGIC PLAN 2018/19 - 2020/21")</f>
        <v>THREE YEAR STRATEGIC PLAN 2018/19 - 2020/21</v>
      </c>
      <c r="D80" s="1" t="s">
        <v>2191</v>
      </c>
      <c r="E80" s="1" t="s">
        <v>2192</v>
      </c>
      <c r="F80" s="1" t="s">
        <v>234</v>
      </c>
      <c r="G80" s="1"/>
      <c r="H80" s="1">
        <v>2018.0</v>
      </c>
      <c r="I80" s="1" t="s">
        <v>24</v>
      </c>
      <c r="J80" s="1" t="s">
        <v>2196</v>
      </c>
      <c r="K80" s="4" t="s">
        <v>2197</v>
      </c>
      <c r="L80" s="1" t="s">
        <v>1945</v>
      </c>
      <c r="N80" s="1" t="s">
        <v>37</v>
      </c>
    </row>
    <row r="81">
      <c r="A81" s="1">
        <v>10374.0</v>
      </c>
      <c r="B81" s="1" t="s">
        <v>2198</v>
      </c>
      <c r="C81" s="1" t="str">
        <f>IFERROR(__xludf.DUMMYFUNCTION("GOOGLETRANSLATE(B81)"),"FINANCE (MISCELLANEOUS PROVISIONS) ACT 2021")</f>
        <v>FINANCE (MISCELLANEOUS PROVISIONS) ACT 2021</v>
      </c>
      <c r="D81" s="1" t="s">
        <v>2191</v>
      </c>
      <c r="E81" s="1" t="s">
        <v>2192</v>
      </c>
      <c r="F81" s="1" t="s">
        <v>45</v>
      </c>
      <c r="G81" s="1"/>
      <c r="H81" s="1">
        <v>2021.0</v>
      </c>
      <c r="I81" s="1" t="s">
        <v>24</v>
      </c>
      <c r="J81" s="1" t="s">
        <v>2199</v>
      </c>
      <c r="K81" s="4" t="s">
        <v>2200</v>
      </c>
      <c r="L81" s="1" t="s">
        <v>1945</v>
      </c>
      <c r="N81" s="1" t="s">
        <v>23</v>
      </c>
    </row>
    <row r="82">
      <c r="A82" s="1">
        <v>10374.0</v>
      </c>
      <c r="B82" s="1" t="s">
        <v>2201</v>
      </c>
      <c r="C82" s="1" t="str">
        <f>IFERROR(__xludf.DUMMYFUNCTION("GOOGLETRANSLATE(B82)"),"Budget Speech 2021-2022")</f>
        <v>Budget Speech 2021-2022</v>
      </c>
      <c r="D82" s="1" t="s">
        <v>2191</v>
      </c>
      <c r="E82" s="1" t="s">
        <v>2192</v>
      </c>
      <c r="F82" s="9" t="s">
        <v>89</v>
      </c>
      <c r="G82" s="1" t="s">
        <v>45</v>
      </c>
      <c r="H82" s="1">
        <v>2021.0</v>
      </c>
      <c r="I82" s="1" t="s">
        <v>24</v>
      </c>
      <c r="J82" s="1" t="s">
        <v>2202</v>
      </c>
      <c r="K82" s="4" t="s">
        <v>2203</v>
      </c>
      <c r="L82" s="1" t="s">
        <v>1945</v>
      </c>
      <c r="N82" s="1" t="s">
        <v>23</v>
      </c>
    </row>
    <row r="83">
      <c r="A83" s="1">
        <v>1447.0</v>
      </c>
      <c r="B83" s="1" t="s">
        <v>2204</v>
      </c>
      <c r="C83" s="1" t="str">
        <f>IFERROR(__xludf.DUMMYFUNCTION("GOOGLETRANSLATE(B83)"),"Decree by which various provisions of the Political Constitution of the United Mexican States are reinforced and add")</f>
        <v>Decree by which various provisions of the Political Constitution of the United Mexican States are reinforced and add</v>
      </c>
      <c r="D83" s="1" t="s">
        <v>2205</v>
      </c>
      <c r="E83" s="1" t="s">
        <v>2206</v>
      </c>
      <c r="F83" s="1" t="s">
        <v>18</v>
      </c>
      <c r="G83" s="1"/>
      <c r="H83" s="1">
        <v>2013.0</v>
      </c>
      <c r="I83" s="1" t="s">
        <v>924</v>
      </c>
      <c r="J83" s="1" t="s">
        <v>2207</v>
      </c>
      <c r="K83" s="4" t="s">
        <v>2208</v>
      </c>
      <c r="L83" s="1" t="s">
        <v>1945</v>
      </c>
      <c r="N83" s="1" t="s">
        <v>23</v>
      </c>
    </row>
    <row r="84">
      <c r="A84" s="1">
        <v>1447.0</v>
      </c>
      <c r="B84" s="1" t="s">
        <v>2209</v>
      </c>
      <c r="C84" s="1" t="str">
        <f>IFERROR(__xludf.DUMMYFUNCTION("GOOGLETRANSLATE(B84)"),"Energy reform")</f>
        <v>Energy reform</v>
      </c>
      <c r="D84" s="1" t="s">
        <v>2205</v>
      </c>
      <c r="E84" s="1" t="s">
        <v>2206</v>
      </c>
      <c r="F84" s="9" t="s">
        <v>41</v>
      </c>
      <c r="G84" s="9" t="s">
        <v>41</v>
      </c>
      <c r="H84" s="3"/>
      <c r="I84" s="1" t="s">
        <v>924</v>
      </c>
      <c r="J84" s="1" t="s">
        <v>2210</v>
      </c>
      <c r="K84" s="4" t="s">
        <v>2211</v>
      </c>
      <c r="L84" s="1" t="s">
        <v>1945</v>
      </c>
      <c r="N84" s="1" t="s">
        <v>37</v>
      </c>
    </row>
    <row r="85">
      <c r="A85" s="1">
        <v>1449.0</v>
      </c>
      <c r="B85" s="1" t="s">
        <v>2212</v>
      </c>
      <c r="C85" s="1" t="str">
        <f>IFERROR(__xludf.DUMMYFUNCTION("GOOGLETRANSLATE(B85)"),"General Law on Climate Change")</f>
        <v>General Law on Climate Change</v>
      </c>
      <c r="D85" s="1" t="s">
        <v>2205</v>
      </c>
      <c r="E85" s="1" t="s">
        <v>2206</v>
      </c>
      <c r="F85" s="1" t="s">
        <v>41</v>
      </c>
      <c r="G85" s="1"/>
      <c r="H85" s="1">
        <v>2012.0</v>
      </c>
      <c r="I85" s="1" t="s">
        <v>24</v>
      </c>
      <c r="J85" s="1" t="s">
        <v>2213</v>
      </c>
      <c r="K85" s="4" t="s">
        <v>2214</v>
      </c>
      <c r="L85" s="1" t="s">
        <v>1945</v>
      </c>
      <c r="N85" s="1" t="s">
        <v>23</v>
      </c>
    </row>
    <row r="86">
      <c r="A86" s="1">
        <v>1449.0</v>
      </c>
      <c r="B86" s="1" t="s">
        <v>2215</v>
      </c>
      <c r="C86" s="1" t="str">
        <f>IFERROR(__xludf.DUMMYFUNCTION("GOOGLETRANSLATE(B86)"),"Decree by which various provisions of the General Law of Climate Change are reinforced and added.")</f>
        <v>Decree by which various provisions of the General Law of Climate Change are reinforced and added.</v>
      </c>
      <c r="D86" s="1" t="s">
        <v>2205</v>
      </c>
      <c r="E86" s="1" t="s">
        <v>2206</v>
      </c>
      <c r="F86" s="9" t="s">
        <v>18</v>
      </c>
      <c r="G86" s="1"/>
      <c r="H86" s="1">
        <v>2018.0</v>
      </c>
      <c r="I86" s="1" t="s">
        <v>924</v>
      </c>
      <c r="J86" s="1" t="s">
        <v>2216</v>
      </c>
      <c r="K86" s="4" t="s">
        <v>2217</v>
      </c>
      <c r="L86" s="1" t="s">
        <v>1945</v>
      </c>
      <c r="N86" s="1" t="s">
        <v>23</v>
      </c>
    </row>
    <row r="87">
      <c r="A87" s="1">
        <v>1449.0</v>
      </c>
      <c r="B87" s="1" t="s">
        <v>2218</v>
      </c>
      <c r="C87" s="1" t="str">
        <f>IFERROR(__xludf.DUMMYFUNCTION("GOOGLETRANSLATE(B87)"),"GENERAL LAW OF CLIMATE CHANGE")</f>
        <v>GENERAL LAW OF CLIMATE CHANGE</v>
      </c>
      <c r="D87" s="1" t="s">
        <v>2205</v>
      </c>
      <c r="E87" s="1" t="s">
        <v>2206</v>
      </c>
      <c r="F87" s="1" t="s">
        <v>41</v>
      </c>
      <c r="G87" s="1"/>
      <c r="H87" s="1">
        <v>2012.0</v>
      </c>
      <c r="I87" s="1" t="s">
        <v>924</v>
      </c>
      <c r="J87" s="1" t="s">
        <v>2219</v>
      </c>
      <c r="K87" s="4" t="s">
        <v>2220</v>
      </c>
      <c r="L87" s="1" t="s">
        <v>1945</v>
      </c>
      <c r="N87" s="1" t="s">
        <v>23</v>
      </c>
    </row>
    <row r="88">
      <c r="A88" s="1">
        <v>8618.0</v>
      </c>
      <c r="B88" s="1" t="s">
        <v>2221</v>
      </c>
      <c r="C88" s="1" t="str">
        <f>IFERROR(__xludf.DUMMYFUNCTION("GOOGLETRANSLATE(B88)"),"Transition strategy to promote the use of cleaner technologies and fuels")</f>
        <v>Transition strategy to promote the use of cleaner technologies and fuels</v>
      </c>
      <c r="D88" s="1" t="s">
        <v>2205</v>
      </c>
      <c r="E88" s="1" t="s">
        <v>2206</v>
      </c>
      <c r="F88" s="1" t="s">
        <v>144</v>
      </c>
      <c r="G88" s="1"/>
      <c r="H88" s="1">
        <v>2016.0</v>
      </c>
      <c r="I88" s="1" t="s">
        <v>924</v>
      </c>
      <c r="J88" s="1" t="s">
        <v>2222</v>
      </c>
      <c r="K88" s="4" t="s">
        <v>2223</v>
      </c>
      <c r="L88" s="1" t="s">
        <v>1945</v>
      </c>
      <c r="N88" s="1" t="s">
        <v>37</v>
      </c>
    </row>
    <row r="89">
      <c r="A89" s="1">
        <v>8618.0</v>
      </c>
      <c r="B89" s="1" t="s">
        <v>2224</v>
      </c>
      <c r="C89" s="1" t="str">
        <f>IFERROR(__xludf.DUMMYFUNCTION("GOOGLETRANSLATE(B89)"),"Agreement for which the Ministry of Energy approves and publishes the update of the transition strategy to promote the use of cleaner technologies and fuels, in terms of the Energy Transition Law.")</f>
        <v>Agreement for which the Ministry of Energy approves and publishes the update of the transition strategy to promote the use of cleaner technologies and fuels, in terms of the Energy Transition Law.</v>
      </c>
      <c r="D89" s="1" t="s">
        <v>2205</v>
      </c>
      <c r="E89" s="1" t="s">
        <v>2206</v>
      </c>
      <c r="F89" s="9" t="s">
        <v>144</v>
      </c>
      <c r="G89" s="1"/>
      <c r="H89" s="1">
        <v>2020.0</v>
      </c>
      <c r="I89" s="1" t="s">
        <v>924</v>
      </c>
      <c r="J89" s="4" t="s">
        <v>2225</v>
      </c>
      <c r="K89" s="4" t="s">
        <v>2226</v>
      </c>
      <c r="L89" s="1" t="s">
        <v>1945</v>
      </c>
      <c r="N89" s="1" t="s">
        <v>37</v>
      </c>
    </row>
    <row r="90">
      <c r="A90" s="1">
        <v>8619.0</v>
      </c>
      <c r="B90" s="1" t="s">
        <v>2227</v>
      </c>
      <c r="C90" s="1" t="str">
        <f>IFERROR(__xludf.DUMMYFUNCTION("GOOGLETRANSLATE(B90)"),"Decree by which the Law of the Electric Industry, the Law of Geothermal Energy are issued and various provisions of the National Water Law are added and strengthened and reinforced")</f>
        <v>Decree by which the Law of the Electric Industry, the Law of Geothermal Energy are issued and various provisions of the National Water Law are added and strengthened and reinforced</v>
      </c>
      <c r="D90" s="1" t="s">
        <v>2205</v>
      </c>
      <c r="E90" s="1" t="s">
        <v>2206</v>
      </c>
      <c r="F90" s="1" t="s">
        <v>18</v>
      </c>
      <c r="G90" s="1"/>
      <c r="H90" s="1">
        <v>2014.0</v>
      </c>
      <c r="I90" s="1" t="s">
        <v>924</v>
      </c>
      <c r="J90" s="1" t="s">
        <v>2228</v>
      </c>
      <c r="K90" s="4" t="s">
        <v>2229</v>
      </c>
      <c r="L90" s="1" t="s">
        <v>1945</v>
      </c>
      <c r="N90" s="1" t="s">
        <v>23</v>
      </c>
    </row>
    <row r="91" hidden="1">
      <c r="A91" s="9">
        <v>8619.0</v>
      </c>
      <c r="B91" s="3"/>
      <c r="C91" s="9" t="str">
        <f>IFERROR(__xludf.DUMMYFUNCTION("GOOGLETRANSLATE(B91)"),"#VALUE!")</f>
        <v>#VALUE!</v>
      </c>
      <c r="D91" s="9" t="s">
        <v>2205</v>
      </c>
      <c r="E91" s="9" t="s">
        <v>2206</v>
      </c>
      <c r="F91" s="3"/>
      <c r="G91" s="3"/>
      <c r="H91" s="3"/>
      <c r="I91" s="3"/>
      <c r="J91" s="9" t="s">
        <v>2230</v>
      </c>
      <c r="K91" s="24" t="s">
        <v>2231</v>
      </c>
      <c r="L91" s="9" t="s">
        <v>1945</v>
      </c>
      <c r="M91" s="3"/>
      <c r="N91" s="9" t="s">
        <v>2232</v>
      </c>
      <c r="O91" s="3"/>
      <c r="P91" s="3"/>
      <c r="Q91" s="3"/>
      <c r="R91" s="3"/>
      <c r="S91" s="3"/>
      <c r="T91" s="3"/>
      <c r="U91" s="3"/>
      <c r="V91" s="3"/>
      <c r="W91" s="3"/>
      <c r="X91" s="3"/>
      <c r="Y91" s="3"/>
      <c r="Z91" s="3"/>
      <c r="AA91" s="3"/>
      <c r="AB91" s="3"/>
    </row>
    <row r="92">
      <c r="A92" s="1">
        <v>8619.0</v>
      </c>
      <c r="B92" s="1" t="s">
        <v>2233</v>
      </c>
      <c r="C92" s="1" t="str">
        <f>IFERROR(__xludf.DUMMYFUNCTION("GOOGLETRANSLATE(B92)"),"Decree by which the Law of the Electric Industry, the Law of Geothermal Energy and various provisions of the National Water Law are issued.")</f>
        <v>Decree by which the Law of the Electric Industry, the Law of Geothermal Energy and various provisions of the National Water Law are issued.</v>
      </c>
      <c r="D92" s="1" t="s">
        <v>2205</v>
      </c>
      <c r="E92" s="1" t="s">
        <v>2206</v>
      </c>
      <c r="F92" s="1" t="s">
        <v>18</v>
      </c>
      <c r="G92" s="1"/>
      <c r="H92" s="1">
        <v>2014.0</v>
      </c>
      <c r="I92" s="1" t="s">
        <v>924</v>
      </c>
      <c r="J92" s="1" t="s">
        <v>2234</v>
      </c>
      <c r="K92" s="4" t="s">
        <v>2235</v>
      </c>
      <c r="L92" s="1" t="s">
        <v>1945</v>
      </c>
      <c r="N92" s="1" t="s">
        <v>92</v>
      </c>
    </row>
    <row r="93">
      <c r="A93" s="1">
        <v>1458.0</v>
      </c>
      <c r="B93" s="1" t="s">
        <v>2236</v>
      </c>
      <c r="C93" s="1" t="str">
        <f>IFERROR(__xludf.DUMMYFUNCTION("GOOGLETRANSLATE(B93)"),"2012 Energy Policy")</f>
        <v>2012 Energy Policy</v>
      </c>
      <c r="D93" s="1" t="s">
        <v>2237</v>
      </c>
      <c r="E93" s="1" t="s">
        <v>2238</v>
      </c>
      <c r="F93" s="1" t="s">
        <v>407</v>
      </c>
      <c r="G93" s="1"/>
      <c r="H93" s="1">
        <v>2012.0</v>
      </c>
      <c r="I93" s="1" t="s">
        <v>24</v>
      </c>
      <c r="J93" s="1" t="s">
        <v>2239</v>
      </c>
      <c r="K93" s="4" t="s">
        <v>2240</v>
      </c>
      <c r="L93" s="1" t="s">
        <v>1945</v>
      </c>
      <c r="N93" s="1" t="s">
        <v>23</v>
      </c>
    </row>
    <row r="94">
      <c r="A94" s="1">
        <v>1458.0</v>
      </c>
      <c r="B94" s="1" t="s">
        <v>2241</v>
      </c>
      <c r="C94" s="1" t="str">
        <f>IFERROR(__xludf.DUMMYFUNCTION("GOOGLETRANSLATE(B94)"),"National &amp; State Energy Action Plans")</f>
        <v>National &amp; State Energy Action Plans</v>
      </c>
      <c r="D94" s="1" t="s">
        <v>2237</v>
      </c>
      <c r="E94" s="1" t="s">
        <v>2238</v>
      </c>
      <c r="F94" s="1" t="s">
        <v>368</v>
      </c>
      <c r="G94" s="1"/>
      <c r="H94" s="1">
        <v>2012.0</v>
      </c>
      <c r="I94" s="1" t="s">
        <v>24</v>
      </c>
      <c r="J94" s="1" t="s">
        <v>2242</v>
      </c>
      <c r="K94" s="4" t="s">
        <v>2243</v>
      </c>
      <c r="L94" s="1" t="s">
        <v>1945</v>
      </c>
      <c r="N94" s="1" t="s">
        <v>23</v>
      </c>
    </row>
    <row r="95">
      <c r="A95" s="1">
        <v>10016.0</v>
      </c>
      <c r="B95" s="1" t="s">
        <v>2244</v>
      </c>
      <c r="C95" s="1" t="str">
        <f>IFERROR(__xludf.DUMMYFUNCTION("GOOGLETRANSLATE(B95)"),"Law on promoting the use of energy from renewable sources")</f>
        <v>Law on promoting the use of energy from renewable sources</v>
      </c>
      <c r="D95" s="1" t="s">
        <v>2245</v>
      </c>
      <c r="E95" s="1" t="s">
        <v>2246</v>
      </c>
      <c r="F95" s="1" t="s">
        <v>41</v>
      </c>
      <c r="G95" s="1"/>
      <c r="H95" s="1">
        <v>2016.0</v>
      </c>
      <c r="I95" s="1" t="s">
        <v>2247</v>
      </c>
      <c r="J95" s="1" t="s">
        <v>2248</v>
      </c>
      <c r="K95" s="4" t="s">
        <v>2249</v>
      </c>
      <c r="L95" s="1" t="s">
        <v>1945</v>
      </c>
      <c r="N95" s="1" t="s">
        <v>326</v>
      </c>
    </row>
    <row r="96">
      <c r="A96" s="1">
        <v>10016.0</v>
      </c>
      <c r="B96" s="156" t="s">
        <v>2250</v>
      </c>
      <c r="C96" s="1" t="str">
        <f>IFERROR(__xludf.DUMMYFUNCTION("GOOGLETRANSLATE(B96)"),"Law on promoting the use of energy from renewable sources")</f>
        <v>Law on promoting the use of energy from renewable sources</v>
      </c>
      <c r="D96" s="1" t="s">
        <v>2245</v>
      </c>
      <c r="E96" s="1" t="s">
        <v>2246</v>
      </c>
      <c r="F96" s="1" t="s">
        <v>41</v>
      </c>
      <c r="G96" s="1"/>
      <c r="H96" s="1">
        <v>2016.0</v>
      </c>
      <c r="I96" s="1" t="s">
        <v>24</v>
      </c>
      <c r="J96" s="4" t="s">
        <v>2251</v>
      </c>
      <c r="K96" s="4" t="s">
        <v>2252</v>
      </c>
      <c r="L96" s="1" t="s">
        <v>1945</v>
      </c>
      <c r="N96" s="1" t="s">
        <v>2253</v>
      </c>
    </row>
    <row r="97">
      <c r="A97" s="1">
        <v>8538.0</v>
      </c>
      <c r="B97" s="1" t="s">
        <v>2254</v>
      </c>
      <c r="C97" s="1" t="str">
        <f>IFERROR(__xludf.DUMMYFUNCTION("GOOGLETRANSLATE(B97)"),"Law No. 1.456 of December 12, 2017 on the environment code.")</f>
        <v>Law No. 1.456 of December 12, 2017 on the environment code.</v>
      </c>
      <c r="D97" s="1" t="s">
        <v>2255</v>
      </c>
      <c r="E97" s="1" t="s">
        <v>2256</v>
      </c>
      <c r="F97" s="1" t="s">
        <v>41</v>
      </c>
      <c r="G97" s="1"/>
      <c r="H97" s="1">
        <v>2017.0</v>
      </c>
      <c r="I97" s="1" t="s">
        <v>811</v>
      </c>
      <c r="J97" s="1" t="s">
        <v>2257</v>
      </c>
      <c r="K97" s="4" t="s">
        <v>2258</v>
      </c>
      <c r="L97" s="1" t="s">
        <v>1945</v>
      </c>
      <c r="N97" s="1" t="s">
        <v>92</v>
      </c>
    </row>
    <row r="98">
      <c r="A98" s="1">
        <v>8538.0</v>
      </c>
      <c r="B98" s="1" t="s">
        <v>2259</v>
      </c>
      <c r="C98" s="1" t="str">
        <f>IFERROR(__xludf.DUMMYFUNCTION("GOOGLETRANSLATE(B98)"),"Law No. 1.456 of December 12, 2017 relating to the Environment Code")</f>
        <v>Law No. 1.456 of December 12, 2017 relating to the Environment Code</v>
      </c>
      <c r="D98" s="1" t="s">
        <v>2255</v>
      </c>
      <c r="E98" s="1" t="s">
        <v>2256</v>
      </c>
      <c r="F98" s="1" t="s">
        <v>41</v>
      </c>
      <c r="G98" s="1"/>
      <c r="H98" s="1">
        <v>2017.0</v>
      </c>
      <c r="I98" s="1" t="s">
        <v>811</v>
      </c>
      <c r="J98" s="1" t="s">
        <v>2260</v>
      </c>
      <c r="K98" s="4" t="s">
        <v>2261</v>
      </c>
      <c r="L98" s="1" t="s">
        <v>1945</v>
      </c>
      <c r="N98" s="1" t="s">
        <v>23</v>
      </c>
    </row>
    <row r="99">
      <c r="A99" s="1">
        <v>1462.0</v>
      </c>
      <c r="B99" s="1" t="s">
        <v>2262</v>
      </c>
      <c r="C99" s="1" t="s">
        <v>2263</v>
      </c>
      <c r="D99" s="1" t="s">
        <v>2264</v>
      </c>
      <c r="E99" s="1" t="s">
        <v>2265</v>
      </c>
      <c r="F99" s="1" t="s">
        <v>41</v>
      </c>
      <c r="G99" s="1"/>
      <c r="H99" s="1">
        <v>2012.0</v>
      </c>
      <c r="I99" s="1" t="s">
        <v>2266</v>
      </c>
      <c r="J99" s="1" t="s">
        <v>2267</v>
      </c>
      <c r="K99" s="4" t="s">
        <v>2268</v>
      </c>
      <c r="L99" s="1" t="s">
        <v>1945</v>
      </c>
      <c r="N99" s="1" t="s">
        <v>23</v>
      </c>
    </row>
    <row r="100">
      <c r="A100" s="1">
        <v>1462.0</v>
      </c>
      <c r="B100" s="1" t="s">
        <v>2263</v>
      </c>
      <c r="C100" s="1" t="str">
        <f>IFERROR(__xludf.DUMMYFUNCTION("GOOGLETRANSLATE(B100)"),"Law on Forests")</f>
        <v>Law on Forests</v>
      </c>
      <c r="D100" s="1" t="s">
        <v>2264</v>
      </c>
      <c r="E100" s="1" t="s">
        <v>2265</v>
      </c>
      <c r="F100" s="1" t="s">
        <v>41</v>
      </c>
      <c r="G100" s="1"/>
      <c r="H100" s="1">
        <v>2012.0</v>
      </c>
      <c r="I100" s="1" t="s">
        <v>24</v>
      </c>
      <c r="J100" s="1" t="s">
        <v>2269</v>
      </c>
      <c r="K100" s="4" t="s">
        <v>2270</v>
      </c>
      <c r="L100" s="1" t="s">
        <v>1945</v>
      </c>
      <c r="N100" s="1" t="s">
        <v>23</v>
      </c>
    </row>
    <row r="101">
      <c r="A101" s="1">
        <v>1464.0</v>
      </c>
      <c r="B101" s="1" t="s">
        <v>2271</v>
      </c>
      <c r="C101" s="1" t="s">
        <v>2272</v>
      </c>
      <c r="D101" s="1" t="s">
        <v>2264</v>
      </c>
      <c r="E101" s="1" t="s">
        <v>2265</v>
      </c>
      <c r="F101" s="1" t="s">
        <v>41</v>
      </c>
      <c r="G101" s="1"/>
      <c r="H101" s="1">
        <v>2007.0</v>
      </c>
      <c r="I101" s="1" t="s">
        <v>2266</v>
      </c>
      <c r="J101" s="1" t="s">
        <v>2273</v>
      </c>
      <c r="K101" s="4" t="s">
        <v>2274</v>
      </c>
      <c r="L101" s="1" t="s">
        <v>1945</v>
      </c>
      <c r="N101" s="1" t="s">
        <v>23</v>
      </c>
    </row>
    <row r="102">
      <c r="A102" s="1">
        <v>1464.0</v>
      </c>
      <c r="B102" s="1" t="s">
        <v>2272</v>
      </c>
      <c r="C102" s="1" t="str">
        <f>IFERROR(__xludf.DUMMYFUNCTION("GOOGLETRANSLATE(B102)"),"Law on Renewable Energy")</f>
        <v>Law on Renewable Energy</v>
      </c>
      <c r="D102" s="1" t="s">
        <v>2264</v>
      </c>
      <c r="E102" s="1" t="s">
        <v>2265</v>
      </c>
      <c r="F102" s="1" t="s">
        <v>41</v>
      </c>
      <c r="G102" s="1"/>
      <c r="H102" s="1">
        <v>2012.0</v>
      </c>
      <c r="I102" s="1" t="s">
        <v>24</v>
      </c>
      <c r="J102" s="1" t="s">
        <v>2275</v>
      </c>
      <c r="K102" s="4" t="s">
        <v>2276</v>
      </c>
      <c r="L102" s="1" t="s">
        <v>1945</v>
      </c>
      <c r="N102" s="1" t="s">
        <v>23</v>
      </c>
    </row>
    <row r="103">
      <c r="A103" s="1">
        <v>1466.0</v>
      </c>
      <c r="B103" s="1" t="s">
        <v>2277</v>
      </c>
      <c r="C103" s="1" t="str">
        <f>IFERROR(__xludf.DUMMYFUNCTION("GOOGLETRANSLATE(B103)"),"Law on Disaster Protection")</f>
        <v>Law on Disaster Protection</v>
      </c>
      <c r="D103" s="1" t="s">
        <v>2264</v>
      </c>
      <c r="E103" s="1" t="s">
        <v>2265</v>
      </c>
      <c r="F103" s="1" t="s">
        <v>41</v>
      </c>
      <c r="G103" s="1"/>
      <c r="H103" s="1">
        <v>2003.0</v>
      </c>
      <c r="I103" s="1" t="s">
        <v>24</v>
      </c>
      <c r="J103" s="1" t="s">
        <v>2278</v>
      </c>
      <c r="K103" s="4" t="s">
        <v>2279</v>
      </c>
      <c r="L103" s="1" t="s">
        <v>1945</v>
      </c>
      <c r="N103" s="1" t="s">
        <v>23</v>
      </c>
    </row>
    <row r="104">
      <c r="A104" s="1">
        <v>1466.0</v>
      </c>
      <c r="B104" s="1" t="s">
        <v>2280</v>
      </c>
      <c r="C104" s="1" t="s">
        <v>2277</v>
      </c>
      <c r="D104" s="1" t="s">
        <v>2264</v>
      </c>
      <c r="E104" s="1" t="s">
        <v>2265</v>
      </c>
      <c r="F104" s="1" t="s">
        <v>41</v>
      </c>
      <c r="G104" s="1"/>
      <c r="H104" s="1">
        <v>2003.0</v>
      </c>
      <c r="I104" s="1" t="s">
        <v>2266</v>
      </c>
      <c r="J104" s="1" t="s">
        <v>2281</v>
      </c>
      <c r="K104" s="4" t="s">
        <v>2282</v>
      </c>
      <c r="L104" s="1" t="s">
        <v>1945</v>
      </c>
      <c r="N104" s="1" t="s">
        <v>23</v>
      </c>
    </row>
    <row r="105">
      <c r="A105" s="1">
        <v>1468.0</v>
      </c>
      <c r="B105" s="1" t="s">
        <v>2283</v>
      </c>
      <c r="C105" s="1" t="s">
        <v>2284</v>
      </c>
      <c r="D105" s="1" t="s">
        <v>2264</v>
      </c>
      <c r="E105" s="1" t="s">
        <v>2265</v>
      </c>
      <c r="F105" s="1" t="s">
        <v>41</v>
      </c>
      <c r="G105" s="1"/>
      <c r="H105" s="1">
        <v>2001.0</v>
      </c>
      <c r="I105" s="1" t="s">
        <v>2266</v>
      </c>
      <c r="J105" s="1" t="s">
        <v>2285</v>
      </c>
      <c r="K105" s="4" t="s">
        <v>2286</v>
      </c>
      <c r="L105" s="1" t="s">
        <v>1945</v>
      </c>
      <c r="N105" s="1" t="s">
        <v>23</v>
      </c>
    </row>
    <row r="106">
      <c r="A106" s="1">
        <v>1468.0</v>
      </c>
      <c r="B106" s="1" t="s">
        <v>2284</v>
      </c>
      <c r="C106" s="1" t="str">
        <f>IFERROR(__xludf.DUMMYFUNCTION("GOOGLETRANSLATE(B106)"),"Law on Energy")</f>
        <v>Law on Energy</v>
      </c>
      <c r="D106" s="1" t="s">
        <v>2264</v>
      </c>
      <c r="E106" s="1" t="s">
        <v>2265</v>
      </c>
      <c r="F106" s="1" t="s">
        <v>41</v>
      </c>
      <c r="G106" s="1"/>
      <c r="H106" s="1">
        <v>2001.0</v>
      </c>
      <c r="I106" s="1" t="s">
        <v>24</v>
      </c>
      <c r="J106" s="1" t="s">
        <v>2287</v>
      </c>
      <c r="K106" s="4" t="s">
        <v>2288</v>
      </c>
      <c r="L106" s="1" t="s">
        <v>1945</v>
      </c>
      <c r="N106" s="1" t="s">
        <v>23</v>
      </c>
    </row>
    <row r="107">
      <c r="A107" s="1">
        <v>9866.0</v>
      </c>
      <c r="B107" s="1" t="s">
        <v>2289</v>
      </c>
      <c r="C107" s="1" t="str">
        <f>IFERROR(__xludf.DUMMYFUNCTION("GOOGLETRANSLATE(B107)"),"State Policy on Energy 2015-2030")</f>
        <v>State Policy on Energy 2015-2030</v>
      </c>
      <c r="D107" s="1" t="s">
        <v>2264</v>
      </c>
      <c r="E107" s="1" t="s">
        <v>2265</v>
      </c>
      <c r="F107" s="1" t="s">
        <v>41</v>
      </c>
      <c r="G107" s="1"/>
      <c r="H107" s="1">
        <v>2015.0</v>
      </c>
      <c r="I107" s="1" t="s">
        <v>2266</v>
      </c>
      <c r="J107" s="1" t="s">
        <v>2290</v>
      </c>
      <c r="K107" s="4" t="s">
        <v>2291</v>
      </c>
      <c r="L107" s="1" t="s">
        <v>1945</v>
      </c>
      <c r="N107" s="1" t="s">
        <v>23</v>
      </c>
    </row>
    <row r="108">
      <c r="A108" s="1">
        <v>9866.0</v>
      </c>
      <c r="B108" s="1" t="s">
        <v>2292</v>
      </c>
      <c r="C108" s="1" t="str">
        <f>IFERROR(__xludf.DUMMYFUNCTION("GOOGLETRANSLATE(B108)"),"RESOLUTION ON ADOPTION OF STATE POLICY ON ENERGY")</f>
        <v>RESOLUTION ON ADOPTION OF STATE POLICY ON ENERGY</v>
      </c>
      <c r="D108" s="1" t="s">
        <v>2264</v>
      </c>
      <c r="E108" s="1" t="s">
        <v>2265</v>
      </c>
      <c r="F108" s="1" t="s">
        <v>137</v>
      </c>
      <c r="G108" s="1"/>
      <c r="H108" s="1">
        <v>2015.0</v>
      </c>
      <c r="I108" s="1" t="s">
        <v>24</v>
      </c>
      <c r="J108" s="1" t="s">
        <v>2293</v>
      </c>
      <c r="K108" s="4" t="s">
        <v>2294</v>
      </c>
      <c r="L108" s="1" t="s">
        <v>1945</v>
      </c>
      <c r="N108" s="1" t="s">
        <v>23</v>
      </c>
    </row>
    <row r="109">
      <c r="A109" s="1">
        <v>1471.0</v>
      </c>
      <c r="B109" s="1" t="s">
        <v>2295</v>
      </c>
      <c r="C109" s="1" t="str">
        <f>IFERROR(__xludf.DUMMYFUNCTION("GOOGLETRANSLATE(B109)"),"Elative law at the National Agency for the Development of renewable energies and energy efficiency")</f>
        <v>Elative law at the National Agency for the Development of renewable energies and energy efficiency</v>
      </c>
      <c r="D109" s="1" t="s">
        <v>2296</v>
      </c>
      <c r="E109" s="1" t="s">
        <v>2297</v>
      </c>
      <c r="F109" s="1" t="s">
        <v>41</v>
      </c>
      <c r="G109" s="1"/>
      <c r="H109" s="1">
        <v>2010.0</v>
      </c>
      <c r="I109" s="1" t="s">
        <v>811</v>
      </c>
      <c r="J109" s="1" t="s">
        <v>2298</v>
      </c>
      <c r="K109" s="4" t="s">
        <v>2299</v>
      </c>
      <c r="L109" s="1" t="s">
        <v>1945</v>
      </c>
      <c r="N109" s="1" t="s">
        <v>23</v>
      </c>
    </row>
    <row r="110">
      <c r="A110" s="1">
        <v>1471.0</v>
      </c>
      <c r="B110" s="1" t="s">
        <v>2300</v>
      </c>
      <c r="C110" s="1" t="str">
        <f>IFERROR(__xludf.DUMMYFUNCTION("GOOGLETRANSLATE(B110)"),"Law No. 39-16 Modifying the law n '16-09 Relation AI'AGENCE National for the development of renewable energy and energy efficiency")</f>
        <v>Law No. 39-16 Modifying the law n '16-09 Relation AI'AGENCE National for the development of renewable energy and energy efficiency</v>
      </c>
      <c r="D110" s="1" t="s">
        <v>2296</v>
      </c>
      <c r="E110" s="1" t="s">
        <v>2297</v>
      </c>
      <c r="F110" s="1" t="s">
        <v>41</v>
      </c>
      <c r="G110" s="1"/>
      <c r="H110" s="1">
        <v>2016.0</v>
      </c>
      <c r="I110" s="1" t="s">
        <v>811</v>
      </c>
      <c r="J110" s="1" t="s">
        <v>2301</v>
      </c>
      <c r="K110" s="4" t="s">
        <v>2302</v>
      </c>
      <c r="L110" s="1" t="s">
        <v>1945</v>
      </c>
      <c r="N110" s="1" t="s">
        <v>23</v>
      </c>
    </row>
    <row r="111">
      <c r="A111" s="1">
        <v>2023.0</v>
      </c>
      <c r="B111" s="1" t="s">
        <v>2303</v>
      </c>
      <c r="C111" s="1" t="str">
        <f>IFERROR(__xludf.DUMMYFUNCTION("GOOGLETRANSLATE(B111)"),"Law on renewable energies")</f>
        <v>Law on renewable energies</v>
      </c>
      <c r="D111" s="1" t="s">
        <v>2296</v>
      </c>
      <c r="E111" s="1" t="s">
        <v>2297</v>
      </c>
      <c r="F111" s="1" t="s">
        <v>41</v>
      </c>
      <c r="G111" s="1"/>
      <c r="H111" s="1">
        <v>2010.0</v>
      </c>
      <c r="I111" s="1" t="s">
        <v>811</v>
      </c>
      <c r="J111" s="1" t="s">
        <v>2304</v>
      </c>
      <c r="K111" s="4" t="s">
        <v>2305</v>
      </c>
      <c r="L111" s="1" t="s">
        <v>1945</v>
      </c>
      <c r="N111" s="1" t="s">
        <v>23</v>
      </c>
    </row>
    <row r="112">
      <c r="A112" s="1">
        <v>2023.0</v>
      </c>
      <c r="B112" s="1" t="s">
        <v>2306</v>
      </c>
      <c r="C112" s="1" t="str">
        <f>IFERROR(__xludf.DUMMYFUNCTION("GOOGLETRANSLATE(B112)"),"Law amending and supplementing law No. 13-09 relating to renewable energies")</f>
        <v>Law amending and supplementing law No. 13-09 relating to renewable energies</v>
      </c>
      <c r="D112" s="1" t="s">
        <v>2296</v>
      </c>
      <c r="E112" s="1" t="s">
        <v>2297</v>
      </c>
      <c r="F112" s="1" t="s">
        <v>41</v>
      </c>
      <c r="G112" s="1"/>
      <c r="H112" s="1">
        <v>2016.0</v>
      </c>
      <c r="I112" s="1" t="s">
        <v>811</v>
      </c>
      <c r="J112" s="1" t="s">
        <v>2307</v>
      </c>
      <c r="K112" s="4" t="s">
        <v>2308</v>
      </c>
      <c r="L112" s="1" t="s">
        <v>1945</v>
      </c>
      <c r="N112" s="1" t="s">
        <v>37</v>
      </c>
    </row>
    <row r="113">
      <c r="A113" s="1">
        <v>8593.0</v>
      </c>
      <c r="B113" s="9" t="s">
        <v>2309</v>
      </c>
      <c r="C113" s="1" t="str">
        <f>IFERROR(__xludf.DUMMYFUNCTION("GOOGLETRANSLATE(B113)"),"Draft decree establishing the Strategic Committee for Sustainable Development")</f>
        <v>Draft decree establishing the Strategic Committee for Sustainable Development</v>
      </c>
      <c r="D113" s="1" t="s">
        <v>2296</v>
      </c>
      <c r="E113" s="1" t="s">
        <v>2297</v>
      </c>
      <c r="F113" s="1" t="s">
        <v>18</v>
      </c>
      <c r="G113" s="1"/>
      <c r="H113" s="1">
        <v>2017.0</v>
      </c>
      <c r="I113" s="1" t="s">
        <v>335</v>
      </c>
      <c r="J113" s="1" t="s">
        <v>2310</v>
      </c>
      <c r="K113" s="4" t="s">
        <v>2311</v>
      </c>
      <c r="L113" s="1" t="s">
        <v>1945</v>
      </c>
      <c r="N113" s="1" t="s">
        <v>37</v>
      </c>
    </row>
    <row r="114">
      <c r="A114" s="1">
        <v>8593.0</v>
      </c>
      <c r="B114" s="9" t="s">
        <v>2312</v>
      </c>
      <c r="C114" s="1" t="str">
        <f>IFERROR(__xludf.DUMMYFUNCTION("GOOGLETRANSLATE(B114)"),"Decree No. 2.19.452 organized by the National Committee for Sustainable Development")</f>
        <v>Decree No. 2.19.452 organized by the National Committee for Sustainable Development</v>
      </c>
      <c r="D114" s="1" t="s">
        <v>2296</v>
      </c>
      <c r="E114" s="1" t="s">
        <v>2297</v>
      </c>
      <c r="F114" s="1" t="s">
        <v>18</v>
      </c>
      <c r="G114" s="1"/>
      <c r="H114" s="1">
        <v>2019.0</v>
      </c>
      <c r="I114" s="1" t="s">
        <v>335</v>
      </c>
      <c r="J114" s="1" t="s">
        <v>2313</v>
      </c>
      <c r="K114" s="4" t="s">
        <v>2314</v>
      </c>
      <c r="L114" s="1" t="s">
        <v>1945</v>
      </c>
      <c r="N114" s="1" t="s">
        <v>37</v>
      </c>
    </row>
    <row r="115">
      <c r="A115" s="1">
        <v>4939.0</v>
      </c>
      <c r="B115" s="1" t="s">
        <v>2315</v>
      </c>
      <c r="C115" s="1" t="str">
        <f>IFERROR(__xludf.DUMMYFUNCTION("GOOGLETRANSLATE(B115)"),"RENEWABLE ENERGY FEED-IN TARIFF RULES")</f>
        <v>RENEWABLE ENERGY FEED-IN TARIFF RULES</v>
      </c>
      <c r="D115" s="1" t="s">
        <v>2316</v>
      </c>
      <c r="E115" s="1" t="s">
        <v>2317</v>
      </c>
      <c r="F115" s="1" t="s">
        <v>372</v>
      </c>
      <c r="G115" s="1"/>
      <c r="H115" s="1">
        <v>2014.0</v>
      </c>
      <c r="I115" s="1" t="s">
        <v>24</v>
      </c>
      <c r="J115" s="1" t="s">
        <v>2318</v>
      </c>
      <c r="K115" s="4" t="s">
        <v>2319</v>
      </c>
      <c r="L115" s="1" t="s">
        <v>1945</v>
      </c>
      <c r="N115" s="1" t="s">
        <v>23</v>
      </c>
    </row>
    <row r="116">
      <c r="A116" s="1">
        <v>4939.0</v>
      </c>
      <c r="B116" s="1" t="s">
        <v>2320</v>
      </c>
      <c r="C116" s="1" t="str">
        <f>IFERROR(__xludf.DUMMYFUNCTION("GOOGLETRANSLATE(B116)"),"Update on the Current Power Supply Situation and Progress Made on NamPower Projects and Initiatives to Ensure Security of Supply in Namibia")</f>
        <v>Update on the Current Power Supply Situation and Progress Made on NamPower Projects and Initiatives to Ensure Security of Supply in Namibia</v>
      </c>
      <c r="D116" s="1" t="s">
        <v>2316</v>
      </c>
      <c r="E116" s="1" t="s">
        <v>2317</v>
      </c>
      <c r="F116" s="9" t="s">
        <v>295</v>
      </c>
      <c r="G116" s="1" t="s">
        <v>850</v>
      </c>
      <c r="H116" s="1">
        <v>2015.0</v>
      </c>
      <c r="I116" s="1" t="s">
        <v>24</v>
      </c>
      <c r="J116" s="1" t="s">
        <v>2321</v>
      </c>
      <c r="K116" s="4" t="s">
        <v>2322</v>
      </c>
      <c r="L116" s="1" t="s">
        <v>1945</v>
      </c>
      <c r="N116" s="1" t="s">
        <v>23</v>
      </c>
    </row>
    <row r="117">
      <c r="A117" s="1">
        <v>4939.0</v>
      </c>
      <c r="B117" s="1" t="s">
        <v>2323</v>
      </c>
      <c r="C117" s="1" t="str">
        <f>IFERROR(__xludf.DUMMYFUNCTION("GOOGLETRANSLATE(B117)"),"NAMIBIA RENEWABLE ENERGY FEED-IN TARIFF (REFIT) PROGRAMME Portal")</f>
        <v>NAMIBIA RENEWABLE ENERGY FEED-IN TARIFF (REFIT) PROGRAMME Portal</v>
      </c>
      <c r="D117" s="1" t="s">
        <v>2316</v>
      </c>
      <c r="E117" s="1" t="s">
        <v>2317</v>
      </c>
      <c r="F117" s="1" t="s">
        <v>850</v>
      </c>
      <c r="G117" s="3"/>
      <c r="H117" s="3"/>
      <c r="I117" s="1" t="s">
        <v>24</v>
      </c>
      <c r="J117" s="1" t="s">
        <v>2324</v>
      </c>
      <c r="K117" s="4" t="s">
        <v>2325</v>
      </c>
      <c r="L117" s="1" t="s">
        <v>1945</v>
      </c>
      <c r="N117" s="1" t="s">
        <v>92</v>
      </c>
    </row>
    <row r="118">
      <c r="A118" s="1">
        <v>4941.0</v>
      </c>
      <c r="B118" s="1" t="s">
        <v>2326</v>
      </c>
      <c r="C118" s="1" t="str">
        <f>IFERROR(__xludf.DUMMYFUNCTION("GOOGLETRANSLATE(B118)"),"Nauru Energy Road Map 2014 – 2020 - An Implementation Plan for Energy Sector Development")</f>
        <v>Nauru Energy Road Map 2014 – 2020 - An Implementation Plan for Energy Sector Development</v>
      </c>
      <c r="D118" s="1" t="s">
        <v>2327</v>
      </c>
      <c r="E118" s="1" t="s">
        <v>2328</v>
      </c>
      <c r="F118" s="1" t="s">
        <v>2329</v>
      </c>
      <c r="G118" s="1"/>
      <c r="H118" s="1">
        <v>2014.0</v>
      </c>
      <c r="I118" s="1" t="s">
        <v>24</v>
      </c>
      <c r="J118" s="1" t="s">
        <v>2330</v>
      </c>
      <c r="K118" s="4" t="s">
        <v>2331</v>
      </c>
      <c r="L118" s="1" t="s">
        <v>1945</v>
      </c>
      <c r="N118" s="1" t="s">
        <v>23</v>
      </c>
    </row>
    <row r="119">
      <c r="A119" s="1">
        <v>4941.0</v>
      </c>
      <c r="B119" s="1" t="s">
        <v>2332</v>
      </c>
      <c r="C119" s="1" t="str">
        <f>IFERROR(__xludf.DUMMYFUNCTION("GOOGLETRANSLATE(B119)"),"Nauru Energy Roadmap 2018-2020")</f>
        <v>Nauru Energy Roadmap 2018-2020</v>
      </c>
      <c r="D119" s="1" t="s">
        <v>2327</v>
      </c>
      <c r="E119" s="1" t="s">
        <v>2328</v>
      </c>
      <c r="F119" s="1" t="s">
        <v>2329</v>
      </c>
      <c r="G119" s="1"/>
      <c r="H119" s="1">
        <v>2018.0</v>
      </c>
      <c r="I119" s="1" t="s">
        <v>24</v>
      </c>
      <c r="J119" s="1" t="s">
        <v>2333</v>
      </c>
      <c r="K119" s="4" t="s">
        <v>2334</v>
      </c>
      <c r="L119" s="1" t="s">
        <v>1945</v>
      </c>
      <c r="N119" s="1" t="s">
        <v>37</v>
      </c>
    </row>
    <row r="120">
      <c r="A120" s="1">
        <v>10395.0</v>
      </c>
      <c r="B120" s="1" t="s">
        <v>2335</v>
      </c>
      <c r="C120" s="1" t="str">
        <f>IFERROR(__xludf.DUMMYFUNCTION("GOOGLETRANSLATE(B120)"),"ENVIRONMENTAL MANAGEMENT AND CLIMATE CHANGE ACT 2020")</f>
        <v>ENVIRONMENTAL MANAGEMENT AND CLIMATE CHANGE ACT 2020</v>
      </c>
      <c r="D120" s="1" t="s">
        <v>2327</v>
      </c>
      <c r="E120" s="1" t="s">
        <v>2328</v>
      </c>
      <c r="F120" s="1" t="s">
        <v>45</v>
      </c>
      <c r="G120" s="1"/>
      <c r="H120" s="1">
        <v>2020.0</v>
      </c>
      <c r="I120" s="1" t="s">
        <v>24</v>
      </c>
      <c r="J120" s="1" t="s">
        <v>2336</v>
      </c>
      <c r="K120" s="4" t="s">
        <v>2337</v>
      </c>
      <c r="L120" s="1" t="s">
        <v>1945</v>
      </c>
      <c r="N120" s="1" t="s">
        <v>37</v>
      </c>
    </row>
    <row r="121">
      <c r="A121" s="1">
        <v>10395.0</v>
      </c>
      <c r="B121" s="1" t="s">
        <v>2338</v>
      </c>
      <c r="C121" s="1" t="str">
        <f>IFERROR(__xludf.DUMMYFUNCTION("GOOGLETRANSLATE(B121)"),"ENVIRONMENTAL MANAGEMENT AND CLIMATE CHANGE (NOTICES) REGULATIONS 2021")</f>
        <v>ENVIRONMENTAL MANAGEMENT AND CLIMATE CHANGE (NOTICES) REGULATIONS 2021</v>
      </c>
      <c r="D121" s="1" t="s">
        <v>2327</v>
      </c>
      <c r="E121" s="1" t="s">
        <v>2328</v>
      </c>
      <c r="F121" s="1" t="s">
        <v>34</v>
      </c>
      <c r="G121" s="1"/>
      <c r="H121" s="1">
        <v>2021.0</v>
      </c>
      <c r="I121" s="1" t="s">
        <v>24</v>
      </c>
      <c r="J121" s="1" t="s">
        <v>2339</v>
      </c>
      <c r="K121" s="4" t="s">
        <v>2340</v>
      </c>
      <c r="L121" s="1" t="s">
        <v>1945</v>
      </c>
      <c r="N121" s="1" t="s">
        <v>23</v>
      </c>
    </row>
    <row r="122">
      <c r="A122" s="1">
        <v>10395.0</v>
      </c>
      <c r="B122" s="1" t="s">
        <v>2341</v>
      </c>
      <c r="C122" s="1" t="str">
        <f>IFERROR(__xludf.DUMMYFUNCTION("GOOGLETRANSLATE(B122)"),"Environmental Management and Climate Change (Ban on Single Use Plastic Shopping Bags) Regulations 2021")</f>
        <v>Environmental Management and Climate Change (Ban on Single Use Plastic Shopping Bags) Regulations 2021</v>
      </c>
      <c r="D122" s="1" t="s">
        <v>2327</v>
      </c>
      <c r="E122" s="1" t="s">
        <v>2328</v>
      </c>
      <c r="F122" s="1" t="s">
        <v>34</v>
      </c>
      <c r="G122" s="1"/>
      <c r="H122" s="1">
        <v>2021.0</v>
      </c>
      <c r="I122" s="1" t="s">
        <v>24</v>
      </c>
      <c r="J122" s="1" t="s">
        <v>2342</v>
      </c>
      <c r="K122" s="4" t="s">
        <v>2343</v>
      </c>
      <c r="L122" s="1" t="s">
        <v>1945</v>
      </c>
      <c r="N122" s="1" t="s">
        <v>37</v>
      </c>
    </row>
    <row r="123">
      <c r="A123" s="1">
        <v>9614.0</v>
      </c>
      <c r="B123" s="1" t="s">
        <v>2344</v>
      </c>
      <c r="C123" s="1" t="str">
        <f>IFERROR(__xludf.DUMMYFUNCTION("GOOGLETRANSLATE(B123)"),"Forest Act")</f>
        <v>Forest Act</v>
      </c>
      <c r="D123" s="1" t="s">
        <v>2345</v>
      </c>
      <c r="E123" s="1" t="s">
        <v>2346</v>
      </c>
      <c r="F123" s="1" t="s">
        <v>45</v>
      </c>
      <c r="G123" s="1"/>
      <c r="H123" s="1">
        <v>1993.0</v>
      </c>
      <c r="I123" s="1" t="s">
        <v>24</v>
      </c>
      <c r="J123" s="1" t="s">
        <v>2347</v>
      </c>
      <c r="K123" s="4" t="s">
        <v>2348</v>
      </c>
      <c r="L123" s="1" t="s">
        <v>1945</v>
      </c>
      <c r="N123" s="1" t="s">
        <v>23</v>
      </c>
    </row>
    <row r="124">
      <c r="A124" s="1">
        <v>9614.0</v>
      </c>
      <c r="B124" s="1" t="s">
        <v>2349</v>
      </c>
      <c r="C124" s="1" t="str">
        <f>IFERROR(__xludf.DUMMYFUNCTION("GOOGLETRANSLATE(B124)"),"Amendment to the Forest Act")</f>
        <v>Amendment to the Forest Act</v>
      </c>
      <c r="D124" s="1" t="s">
        <v>2345</v>
      </c>
      <c r="E124" s="1" t="s">
        <v>2346</v>
      </c>
      <c r="F124" s="1" t="s">
        <v>45</v>
      </c>
      <c r="G124" s="3"/>
      <c r="H124" s="3"/>
      <c r="I124" s="1" t="s">
        <v>2350</v>
      </c>
      <c r="J124" s="1" t="s">
        <v>2351</v>
      </c>
      <c r="K124" s="4" t="s">
        <v>2352</v>
      </c>
      <c r="L124" s="1" t="s">
        <v>1945</v>
      </c>
      <c r="N124" s="1" t="s">
        <v>23</v>
      </c>
    </row>
    <row r="125">
      <c r="A125" s="1">
        <v>9614.0</v>
      </c>
      <c r="B125" s="1" t="s">
        <v>2353</v>
      </c>
      <c r="C125" s="1" t="str">
        <f>IFERROR(__xludf.DUMMYFUNCTION("GOOGLETRANSLATE(B125)"),"The Forests Act, 2019")</f>
        <v>The Forests Act, 2019</v>
      </c>
      <c r="D125" s="1" t="s">
        <v>2345</v>
      </c>
      <c r="E125" s="1" t="s">
        <v>2346</v>
      </c>
      <c r="F125" s="1" t="s">
        <v>45</v>
      </c>
      <c r="G125" s="1"/>
      <c r="H125" s="1">
        <v>2019.0</v>
      </c>
      <c r="I125" s="1" t="s">
        <v>24</v>
      </c>
      <c r="J125" s="1" t="s">
        <v>2354</v>
      </c>
      <c r="K125" s="4" t="s">
        <v>2355</v>
      </c>
      <c r="L125" s="1" t="s">
        <v>1945</v>
      </c>
      <c r="N125" s="1" t="s">
        <v>23</v>
      </c>
    </row>
    <row r="126">
      <c r="F126" s="6"/>
      <c r="G126" s="6"/>
    </row>
    <row r="127">
      <c r="F127" s="6"/>
      <c r="G127" s="6"/>
    </row>
    <row r="128">
      <c r="F128" s="6"/>
      <c r="G128" s="6"/>
    </row>
    <row r="129">
      <c r="F129" s="6"/>
      <c r="G129" s="6"/>
    </row>
    <row r="130">
      <c r="F130" s="6"/>
      <c r="G130" s="6"/>
    </row>
    <row r="131">
      <c r="F131" s="6"/>
      <c r="G131" s="6"/>
    </row>
    <row r="132">
      <c r="F132" s="6"/>
      <c r="G132" s="6"/>
    </row>
    <row r="133">
      <c r="F133" s="6"/>
      <c r="G133" s="6"/>
    </row>
    <row r="134">
      <c r="F134" s="6"/>
      <c r="G134" s="6"/>
    </row>
    <row r="135">
      <c r="F135" s="6"/>
      <c r="G135" s="6"/>
    </row>
    <row r="136">
      <c r="F136" s="6"/>
      <c r="G136" s="6"/>
    </row>
    <row r="137">
      <c r="F137" s="6"/>
      <c r="G137" s="6"/>
    </row>
    <row r="138">
      <c r="F138" s="6"/>
      <c r="G138" s="6"/>
    </row>
    <row r="139">
      <c r="F139" s="6"/>
      <c r="G139" s="6"/>
    </row>
    <row r="140">
      <c r="F140" s="6"/>
      <c r="G140" s="6"/>
    </row>
    <row r="141">
      <c r="F141" s="6"/>
      <c r="G141" s="6"/>
    </row>
    <row r="142">
      <c r="F142" s="6"/>
      <c r="G142" s="6"/>
    </row>
    <row r="143">
      <c r="F143" s="6"/>
      <c r="G143" s="6"/>
    </row>
    <row r="144">
      <c r="F144" s="6"/>
      <c r="G144" s="6"/>
    </row>
    <row r="145">
      <c r="F145" s="6"/>
      <c r="G145" s="6"/>
    </row>
    <row r="146">
      <c r="F146" s="6"/>
      <c r="G146" s="6"/>
    </row>
    <row r="147">
      <c r="F147" s="6"/>
      <c r="G147" s="6"/>
    </row>
    <row r="148">
      <c r="F148" s="6"/>
      <c r="G148" s="6"/>
    </row>
    <row r="149">
      <c r="F149" s="6"/>
      <c r="G149" s="6"/>
    </row>
    <row r="150">
      <c r="F150" s="6"/>
      <c r="G150" s="6"/>
    </row>
    <row r="151">
      <c r="F151" s="6"/>
      <c r="G151" s="6"/>
    </row>
    <row r="152">
      <c r="F152" s="6"/>
      <c r="G152" s="6"/>
    </row>
    <row r="153">
      <c r="F153" s="6"/>
      <c r="G153" s="6"/>
    </row>
    <row r="154">
      <c r="F154" s="6"/>
      <c r="G154" s="6"/>
    </row>
    <row r="155">
      <c r="F155" s="6"/>
      <c r="G155" s="6"/>
    </row>
    <row r="156">
      <c r="F156" s="6"/>
      <c r="G156" s="6"/>
    </row>
    <row r="157">
      <c r="F157" s="6"/>
      <c r="G157" s="6"/>
    </row>
    <row r="158">
      <c r="F158" s="6"/>
      <c r="G158" s="6"/>
    </row>
    <row r="159">
      <c r="F159" s="6"/>
      <c r="G159" s="6"/>
    </row>
    <row r="160">
      <c r="F160" s="6"/>
      <c r="G160" s="6"/>
    </row>
    <row r="161">
      <c r="F161" s="6"/>
      <c r="G161" s="6"/>
    </row>
    <row r="162">
      <c r="F162" s="6"/>
      <c r="G162" s="6"/>
    </row>
    <row r="163">
      <c r="F163" s="6"/>
      <c r="G163" s="6"/>
    </row>
    <row r="164">
      <c r="F164" s="6"/>
      <c r="G164" s="6"/>
    </row>
    <row r="165">
      <c r="F165" s="6"/>
      <c r="G165" s="6"/>
    </row>
    <row r="166">
      <c r="F166" s="6"/>
      <c r="G166" s="6"/>
    </row>
    <row r="167">
      <c r="F167" s="6"/>
      <c r="G167" s="6"/>
    </row>
    <row r="168">
      <c r="F168" s="6"/>
      <c r="G168" s="6"/>
    </row>
    <row r="169">
      <c r="F169" s="6"/>
      <c r="G169" s="6"/>
    </row>
    <row r="170">
      <c r="F170" s="6"/>
      <c r="G170" s="6"/>
    </row>
    <row r="171">
      <c r="F171" s="6"/>
      <c r="G171" s="6"/>
    </row>
    <row r="172">
      <c r="F172" s="6"/>
      <c r="G172" s="6"/>
    </row>
    <row r="173">
      <c r="F173" s="6"/>
      <c r="G173" s="6"/>
    </row>
    <row r="174">
      <c r="F174" s="6"/>
      <c r="G174" s="6"/>
    </row>
    <row r="175">
      <c r="F175" s="6"/>
      <c r="G175" s="6"/>
    </row>
    <row r="176">
      <c r="F176" s="6"/>
      <c r="G176" s="6"/>
    </row>
    <row r="177">
      <c r="F177" s="6"/>
      <c r="G177" s="6"/>
    </row>
    <row r="178">
      <c r="F178" s="6"/>
      <c r="G178" s="6"/>
    </row>
    <row r="179">
      <c r="F179" s="6"/>
      <c r="G179" s="6"/>
    </row>
    <row r="180">
      <c r="F180" s="6"/>
      <c r="G180" s="6"/>
    </row>
    <row r="181">
      <c r="F181" s="6"/>
      <c r="G181" s="6"/>
    </row>
    <row r="182">
      <c r="F182" s="6"/>
      <c r="G182" s="6"/>
    </row>
    <row r="183">
      <c r="F183" s="6"/>
      <c r="G183" s="6"/>
    </row>
    <row r="184">
      <c r="F184" s="6"/>
      <c r="G184" s="6"/>
    </row>
    <row r="185">
      <c r="F185" s="6"/>
      <c r="G185" s="6"/>
    </row>
    <row r="186">
      <c r="F186" s="6"/>
      <c r="G186" s="6"/>
    </row>
    <row r="187">
      <c r="F187" s="6"/>
      <c r="G187" s="6"/>
    </row>
    <row r="188">
      <c r="F188" s="6"/>
      <c r="G188" s="6"/>
    </row>
    <row r="189">
      <c r="F189" s="6"/>
      <c r="G189" s="6"/>
    </row>
    <row r="190">
      <c r="F190" s="6"/>
      <c r="G190" s="6"/>
    </row>
    <row r="191">
      <c r="F191" s="6"/>
      <c r="G191" s="6"/>
    </row>
    <row r="192">
      <c r="F192" s="6"/>
      <c r="G192" s="6"/>
    </row>
    <row r="193">
      <c r="F193" s="6"/>
      <c r="G193" s="6"/>
    </row>
    <row r="194">
      <c r="F194" s="6"/>
      <c r="G194" s="6"/>
    </row>
    <row r="195">
      <c r="F195" s="6"/>
      <c r="G195" s="6"/>
    </row>
    <row r="196">
      <c r="F196" s="6"/>
      <c r="G196" s="6"/>
    </row>
    <row r="197">
      <c r="F197" s="6"/>
      <c r="G197" s="6"/>
    </row>
    <row r="198">
      <c r="F198" s="6"/>
      <c r="G198" s="6"/>
    </row>
    <row r="199">
      <c r="F199" s="6"/>
      <c r="G199" s="6"/>
    </row>
    <row r="200">
      <c r="F200" s="6"/>
      <c r="G200" s="6"/>
    </row>
    <row r="201">
      <c r="F201" s="6"/>
      <c r="G201" s="6"/>
    </row>
    <row r="202">
      <c r="F202" s="6"/>
      <c r="G202" s="6"/>
    </row>
    <row r="203">
      <c r="F203" s="6"/>
      <c r="G203" s="6"/>
    </row>
    <row r="204">
      <c r="F204" s="6"/>
      <c r="G204" s="6"/>
    </row>
    <row r="205">
      <c r="F205" s="6"/>
      <c r="G205" s="6"/>
    </row>
    <row r="206">
      <c r="F206" s="6"/>
      <c r="G206" s="6"/>
    </row>
    <row r="207">
      <c r="F207" s="6"/>
      <c r="G207" s="6"/>
    </row>
    <row r="208">
      <c r="F208" s="6"/>
      <c r="G208" s="6"/>
    </row>
    <row r="209">
      <c r="F209" s="6"/>
      <c r="G209" s="6"/>
    </row>
    <row r="210">
      <c r="F210" s="6"/>
      <c r="G210" s="6"/>
    </row>
    <row r="211">
      <c r="F211" s="6"/>
      <c r="G211" s="6"/>
    </row>
    <row r="212">
      <c r="F212" s="6"/>
      <c r="G212" s="6"/>
    </row>
    <row r="213">
      <c r="F213" s="6"/>
      <c r="G213" s="6"/>
    </row>
    <row r="214">
      <c r="F214" s="6"/>
      <c r="G214" s="6"/>
    </row>
    <row r="215">
      <c r="F215" s="6"/>
      <c r="G215" s="6"/>
    </row>
    <row r="216">
      <c r="F216" s="6"/>
      <c r="G216" s="6"/>
    </row>
    <row r="217">
      <c r="F217" s="6"/>
      <c r="G217" s="6"/>
    </row>
    <row r="218">
      <c r="F218" s="6"/>
      <c r="G218" s="6"/>
    </row>
    <row r="219">
      <c r="F219" s="6"/>
      <c r="G219" s="6"/>
    </row>
    <row r="220">
      <c r="F220" s="6"/>
      <c r="G220" s="6"/>
    </row>
    <row r="221">
      <c r="F221" s="6"/>
      <c r="G221" s="6"/>
    </row>
    <row r="222">
      <c r="F222" s="6"/>
      <c r="G222" s="6"/>
    </row>
    <row r="223">
      <c r="F223" s="6"/>
      <c r="G223" s="6"/>
    </row>
    <row r="224">
      <c r="F224" s="6"/>
      <c r="G224" s="6"/>
    </row>
    <row r="225">
      <c r="F225" s="6"/>
      <c r="G225" s="6"/>
    </row>
    <row r="226">
      <c r="F226" s="6"/>
      <c r="G226" s="6"/>
    </row>
    <row r="227">
      <c r="F227" s="6"/>
      <c r="G227" s="6"/>
    </row>
    <row r="228">
      <c r="F228" s="6"/>
      <c r="G228" s="6"/>
    </row>
    <row r="229">
      <c r="F229" s="6"/>
      <c r="G229" s="6"/>
    </row>
    <row r="230">
      <c r="F230" s="6"/>
      <c r="G230" s="6"/>
    </row>
    <row r="231">
      <c r="F231" s="6"/>
      <c r="G231" s="6"/>
    </row>
    <row r="232">
      <c r="F232" s="6"/>
      <c r="G232" s="6"/>
    </row>
    <row r="233">
      <c r="F233" s="6"/>
      <c r="G233" s="6"/>
    </row>
    <row r="234">
      <c r="F234" s="6"/>
      <c r="G234" s="6"/>
    </row>
    <row r="235">
      <c r="F235" s="6"/>
      <c r="G235" s="6"/>
    </row>
    <row r="236">
      <c r="F236" s="6"/>
      <c r="G236" s="6"/>
    </row>
    <row r="237">
      <c r="F237" s="6"/>
      <c r="G237" s="6"/>
    </row>
    <row r="238">
      <c r="F238" s="6"/>
      <c r="G238" s="6"/>
    </row>
    <row r="239">
      <c r="F239" s="6"/>
      <c r="G239" s="6"/>
    </row>
    <row r="240">
      <c r="F240" s="6"/>
      <c r="G240" s="6"/>
    </row>
    <row r="241">
      <c r="F241" s="6"/>
      <c r="G241" s="6"/>
    </row>
    <row r="242">
      <c r="F242" s="6"/>
      <c r="G242" s="6"/>
    </row>
    <row r="243">
      <c r="F243" s="6"/>
      <c r="G243" s="6"/>
    </row>
    <row r="244">
      <c r="F244" s="6"/>
      <c r="G244" s="6"/>
    </row>
    <row r="245">
      <c r="F245" s="6"/>
      <c r="G245" s="6"/>
    </row>
    <row r="246">
      <c r="F246" s="6"/>
      <c r="G246" s="6"/>
    </row>
    <row r="247">
      <c r="F247" s="6"/>
      <c r="G247" s="6"/>
    </row>
    <row r="248">
      <c r="F248" s="6"/>
      <c r="G248" s="6"/>
    </row>
    <row r="249">
      <c r="F249" s="6"/>
      <c r="G249" s="6"/>
    </row>
    <row r="250">
      <c r="F250" s="6"/>
      <c r="G250" s="6"/>
    </row>
    <row r="251">
      <c r="F251" s="6"/>
      <c r="G251" s="6"/>
    </row>
    <row r="252">
      <c r="F252" s="6"/>
      <c r="G252" s="6"/>
    </row>
    <row r="253">
      <c r="F253" s="6"/>
      <c r="G253" s="6"/>
    </row>
    <row r="254">
      <c r="F254" s="6"/>
      <c r="G254" s="6"/>
    </row>
    <row r="255">
      <c r="F255" s="6"/>
      <c r="G255" s="6"/>
    </row>
    <row r="256">
      <c r="F256" s="6"/>
      <c r="G256" s="6"/>
    </row>
    <row r="257">
      <c r="F257" s="6"/>
      <c r="G257" s="6"/>
    </row>
    <row r="258">
      <c r="F258" s="6"/>
      <c r="G258" s="6"/>
    </row>
    <row r="259">
      <c r="F259" s="6"/>
      <c r="G259" s="6"/>
    </row>
    <row r="260">
      <c r="F260" s="6"/>
      <c r="G260" s="6"/>
    </row>
    <row r="261">
      <c r="F261" s="6"/>
      <c r="G261" s="6"/>
    </row>
    <row r="262">
      <c r="F262" s="6"/>
      <c r="G262" s="6"/>
    </row>
    <row r="263">
      <c r="F263" s="6"/>
      <c r="G263" s="6"/>
    </row>
    <row r="264">
      <c r="F264" s="6"/>
      <c r="G264" s="6"/>
    </row>
    <row r="265">
      <c r="F265" s="6"/>
      <c r="G265" s="6"/>
    </row>
    <row r="266">
      <c r="F266" s="6"/>
      <c r="G266" s="6"/>
    </row>
    <row r="267">
      <c r="F267" s="6"/>
      <c r="G267" s="6"/>
    </row>
    <row r="268">
      <c r="F268" s="6"/>
      <c r="G268" s="6"/>
    </row>
    <row r="269">
      <c r="F269" s="6"/>
      <c r="G269" s="6"/>
    </row>
    <row r="270">
      <c r="F270" s="6"/>
      <c r="G270" s="6"/>
    </row>
    <row r="271">
      <c r="F271" s="6"/>
      <c r="G271" s="6"/>
    </row>
    <row r="272">
      <c r="F272" s="6"/>
      <c r="G272" s="6"/>
    </row>
    <row r="273">
      <c r="F273" s="6"/>
      <c r="G273" s="6"/>
    </row>
    <row r="274">
      <c r="F274" s="6"/>
      <c r="G274" s="6"/>
    </row>
    <row r="275">
      <c r="F275" s="6"/>
      <c r="G275" s="6"/>
    </row>
    <row r="276">
      <c r="F276" s="6"/>
      <c r="G276" s="6"/>
    </row>
    <row r="277">
      <c r="F277" s="6"/>
      <c r="G277" s="6"/>
    </row>
    <row r="278">
      <c r="F278" s="6"/>
      <c r="G278" s="6"/>
    </row>
    <row r="279">
      <c r="F279" s="6"/>
      <c r="G279" s="6"/>
    </row>
    <row r="280">
      <c r="F280" s="6"/>
      <c r="G280" s="6"/>
    </row>
    <row r="281">
      <c r="F281" s="6"/>
      <c r="G281" s="6"/>
    </row>
    <row r="282">
      <c r="F282" s="6"/>
      <c r="G282" s="6"/>
    </row>
    <row r="283">
      <c r="F283" s="6"/>
      <c r="G283" s="6"/>
    </row>
    <row r="284">
      <c r="F284" s="6"/>
      <c r="G284" s="6"/>
    </row>
    <row r="285">
      <c r="F285" s="6"/>
      <c r="G285" s="6"/>
    </row>
    <row r="286">
      <c r="F286" s="6"/>
      <c r="G286" s="6"/>
    </row>
    <row r="287">
      <c r="F287" s="6"/>
      <c r="G287" s="6"/>
    </row>
    <row r="288">
      <c r="F288" s="6"/>
      <c r="G288" s="6"/>
    </row>
    <row r="289">
      <c r="F289" s="6"/>
      <c r="G289" s="6"/>
    </row>
    <row r="290">
      <c r="F290" s="6"/>
      <c r="G290" s="6"/>
    </row>
    <row r="291">
      <c r="F291" s="6"/>
      <c r="G291" s="6"/>
    </row>
    <row r="292">
      <c r="F292" s="6"/>
      <c r="G292" s="6"/>
    </row>
    <row r="293">
      <c r="F293" s="6"/>
      <c r="G293" s="6"/>
    </row>
    <row r="294">
      <c r="F294" s="6"/>
      <c r="G294" s="6"/>
    </row>
    <row r="295">
      <c r="F295" s="6"/>
      <c r="G295" s="6"/>
    </row>
    <row r="296">
      <c r="F296" s="6"/>
      <c r="G296" s="6"/>
    </row>
    <row r="297">
      <c r="F297" s="6"/>
      <c r="G297" s="6"/>
    </row>
    <row r="298">
      <c r="F298" s="6"/>
      <c r="G298" s="6"/>
    </row>
    <row r="299">
      <c r="F299" s="6"/>
      <c r="G299" s="6"/>
    </row>
    <row r="300">
      <c r="F300" s="6"/>
      <c r="G300" s="6"/>
    </row>
    <row r="301">
      <c r="F301" s="6"/>
      <c r="G301" s="6"/>
    </row>
    <row r="302">
      <c r="F302" s="6"/>
      <c r="G302" s="6"/>
    </row>
    <row r="303">
      <c r="F303" s="6"/>
      <c r="G303" s="6"/>
    </row>
    <row r="304">
      <c r="F304" s="6"/>
      <c r="G304" s="6"/>
    </row>
    <row r="305">
      <c r="F305" s="6"/>
      <c r="G305" s="6"/>
    </row>
    <row r="306">
      <c r="F306" s="6"/>
      <c r="G306" s="6"/>
    </row>
    <row r="307">
      <c r="F307" s="6"/>
      <c r="G307" s="6"/>
    </row>
    <row r="308">
      <c r="F308" s="6"/>
      <c r="G308" s="6"/>
    </row>
    <row r="309">
      <c r="F309" s="6"/>
      <c r="G309" s="6"/>
    </row>
    <row r="310">
      <c r="F310" s="6"/>
      <c r="G310" s="6"/>
    </row>
    <row r="311">
      <c r="F311" s="6"/>
      <c r="G311" s="6"/>
    </row>
    <row r="312">
      <c r="F312" s="6"/>
      <c r="G312" s="6"/>
    </row>
    <row r="313">
      <c r="F313" s="6"/>
      <c r="G313" s="6"/>
    </row>
    <row r="314">
      <c r="F314" s="6"/>
      <c r="G314" s="6"/>
    </row>
    <row r="315">
      <c r="F315" s="6"/>
      <c r="G315" s="6"/>
    </row>
    <row r="316">
      <c r="F316" s="6"/>
      <c r="G316" s="6"/>
    </row>
    <row r="317">
      <c r="F317" s="6"/>
      <c r="G317" s="6"/>
    </row>
    <row r="318">
      <c r="F318" s="6"/>
      <c r="G318" s="6"/>
    </row>
    <row r="319">
      <c r="F319" s="6"/>
      <c r="G319" s="6"/>
    </row>
    <row r="320">
      <c r="F320" s="6"/>
      <c r="G320" s="6"/>
    </row>
    <row r="321">
      <c r="F321" s="6"/>
      <c r="G321" s="6"/>
    </row>
    <row r="322">
      <c r="F322" s="6"/>
      <c r="G322" s="6"/>
    </row>
    <row r="323">
      <c r="F323" s="6"/>
      <c r="G323" s="6"/>
    </row>
    <row r="324">
      <c r="F324" s="6"/>
      <c r="G324" s="6"/>
    </row>
    <row r="325">
      <c r="F325" s="6"/>
      <c r="G325" s="6"/>
    </row>
    <row r="326">
      <c r="F326" s="6"/>
      <c r="G326" s="6"/>
    </row>
    <row r="327">
      <c r="F327" s="6"/>
      <c r="G327" s="6"/>
    </row>
    <row r="328">
      <c r="F328" s="6"/>
      <c r="G328" s="6"/>
    </row>
    <row r="329">
      <c r="F329" s="6"/>
      <c r="G329" s="6"/>
    </row>
    <row r="330">
      <c r="F330" s="6"/>
      <c r="G330" s="6"/>
    </row>
    <row r="331">
      <c r="F331" s="6"/>
      <c r="G331" s="6"/>
    </row>
    <row r="332">
      <c r="F332" s="6"/>
      <c r="G332" s="6"/>
    </row>
    <row r="333">
      <c r="F333" s="6"/>
      <c r="G333" s="6"/>
    </row>
    <row r="334">
      <c r="F334" s="6"/>
      <c r="G334" s="6"/>
    </row>
    <row r="335">
      <c r="F335" s="6"/>
      <c r="G335" s="6"/>
    </row>
    <row r="336">
      <c r="F336" s="6"/>
      <c r="G336" s="6"/>
    </row>
    <row r="337">
      <c r="F337" s="6"/>
      <c r="G337" s="6"/>
    </row>
    <row r="338">
      <c r="F338" s="6"/>
      <c r="G338" s="6"/>
    </row>
    <row r="339">
      <c r="F339" s="6"/>
      <c r="G339" s="6"/>
    </row>
    <row r="340">
      <c r="F340" s="6"/>
      <c r="G340" s="6"/>
    </row>
    <row r="341">
      <c r="F341" s="6"/>
      <c r="G341" s="6"/>
    </row>
    <row r="342">
      <c r="F342" s="6"/>
      <c r="G342" s="6"/>
    </row>
    <row r="343">
      <c r="F343" s="6"/>
      <c r="G343" s="6"/>
    </row>
    <row r="344">
      <c r="F344" s="6"/>
      <c r="G344" s="6"/>
    </row>
    <row r="345">
      <c r="F345" s="6"/>
      <c r="G345" s="6"/>
    </row>
    <row r="346">
      <c r="F346" s="6"/>
      <c r="G346" s="6"/>
    </row>
    <row r="347">
      <c r="F347" s="6"/>
      <c r="G347" s="6"/>
    </row>
    <row r="348">
      <c r="F348" s="6"/>
      <c r="G348" s="6"/>
    </row>
    <row r="349">
      <c r="F349" s="6"/>
      <c r="G349" s="6"/>
    </row>
    <row r="350">
      <c r="F350" s="6"/>
      <c r="G350" s="6"/>
    </row>
    <row r="351">
      <c r="F351" s="6"/>
      <c r="G351" s="6"/>
    </row>
    <row r="352">
      <c r="F352" s="6"/>
      <c r="G352" s="6"/>
    </row>
    <row r="353">
      <c r="F353" s="6"/>
      <c r="G353" s="6"/>
    </row>
    <row r="354">
      <c r="F354" s="6"/>
      <c r="G354" s="6"/>
    </row>
    <row r="355">
      <c r="F355" s="6"/>
      <c r="G355" s="6"/>
    </row>
    <row r="356">
      <c r="F356" s="6"/>
      <c r="G356" s="6"/>
    </row>
    <row r="357">
      <c r="F357" s="6"/>
      <c r="G357" s="6"/>
    </row>
    <row r="358">
      <c r="F358" s="6"/>
      <c r="G358" s="6"/>
    </row>
    <row r="359">
      <c r="F359" s="6"/>
      <c r="G359" s="6"/>
    </row>
    <row r="360">
      <c r="F360" s="6"/>
      <c r="G360" s="6"/>
    </row>
    <row r="361">
      <c r="F361" s="6"/>
      <c r="G361" s="6"/>
    </row>
    <row r="362">
      <c r="F362" s="6"/>
      <c r="G362" s="6"/>
    </row>
    <row r="363">
      <c r="F363" s="6"/>
      <c r="G363" s="6"/>
    </row>
    <row r="364">
      <c r="F364" s="6"/>
      <c r="G364" s="6"/>
    </row>
    <row r="365">
      <c r="F365" s="6"/>
      <c r="G365" s="6"/>
    </row>
    <row r="366">
      <c r="F366" s="6"/>
      <c r="G366" s="6"/>
    </row>
    <row r="367">
      <c r="F367" s="6"/>
      <c r="G367" s="6"/>
    </row>
    <row r="368">
      <c r="F368" s="6"/>
      <c r="G368" s="6"/>
    </row>
    <row r="369">
      <c r="F369" s="6"/>
      <c r="G369" s="6"/>
    </row>
    <row r="370">
      <c r="F370" s="6"/>
      <c r="G370" s="6"/>
    </row>
    <row r="371">
      <c r="F371" s="6"/>
      <c r="G371" s="6"/>
    </row>
    <row r="372">
      <c r="F372" s="6"/>
      <c r="G372" s="6"/>
    </row>
    <row r="373">
      <c r="F373" s="6"/>
      <c r="G373" s="6"/>
    </row>
    <row r="374">
      <c r="F374" s="6"/>
      <c r="G374" s="6"/>
    </row>
    <row r="375">
      <c r="F375" s="6"/>
      <c r="G375" s="6"/>
    </row>
    <row r="376">
      <c r="F376" s="6"/>
      <c r="G376" s="6"/>
    </row>
    <row r="377">
      <c r="F377" s="6"/>
      <c r="G377" s="6"/>
    </row>
    <row r="378">
      <c r="F378" s="6"/>
      <c r="G378" s="6"/>
    </row>
    <row r="379">
      <c r="F379" s="6"/>
      <c r="G379" s="6"/>
    </row>
    <row r="380">
      <c r="F380" s="6"/>
      <c r="G380" s="6"/>
    </row>
    <row r="381">
      <c r="F381" s="6"/>
      <c r="G381" s="6"/>
    </row>
    <row r="382">
      <c r="F382" s="6"/>
      <c r="G382" s="6"/>
    </row>
    <row r="383">
      <c r="F383" s="6"/>
      <c r="G383" s="6"/>
    </row>
    <row r="384">
      <c r="F384" s="6"/>
      <c r="G384" s="6"/>
    </row>
    <row r="385">
      <c r="F385" s="6"/>
      <c r="G385" s="6"/>
    </row>
    <row r="386">
      <c r="F386" s="6"/>
      <c r="G386" s="6"/>
    </row>
    <row r="387">
      <c r="F387" s="6"/>
      <c r="G387" s="6"/>
    </row>
    <row r="388">
      <c r="F388" s="6"/>
      <c r="G388" s="6"/>
    </row>
    <row r="389">
      <c r="F389" s="6"/>
      <c r="G389" s="6"/>
    </row>
    <row r="390">
      <c r="F390" s="6"/>
      <c r="G390" s="6"/>
    </row>
    <row r="391">
      <c r="F391" s="6"/>
      <c r="G391" s="6"/>
    </row>
    <row r="392">
      <c r="F392" s="6"/>
      <c r="G392" s="6"/>
    </row>
    <row r="393">
      <c r="F393" s="6"/>
      <c r="G393" s="6"/>
    </row>
    <row r="394">
      <c r="F394" s="6"/>
      <c r="G394" s="6"/>
    </row>
    <row r="395">
      <c r="F395" s="6"/>
      <c r="G395" s="6"/>
    </row>
    <row r="396">
      <c r="F396" s="6"/>
      <c r="G396" s="6"/>
    </row>
    <row r="397">
      <c r="F397" s="6"/>
      <c r="G397" s="6"/>
    </row>
    <row r="398">
      <c r="F398" s="6"/>
      <c r="G398" s="6"/>
    </row>
    <row r="399">
      <c r="F399" s="6"/>
      <c r="G399" s="6"/>
    </row>
    <row r="400">
      <c r="F400" s="6"/>
      <c r="G400" s="6"/>
    </row>
    <row r="401">
      <c r="F401" s="6"/>
      <c r="G401" s="6"/>
    </row>
    <row r="402">
      <c r="F402" s="6"/>
      <c r="G402" s="6"/>
    </row>
    <row r="403">
      <c r="F403" s="6"/>
      <c r="G403" s="6"/>
    </row>
    <row r="404">
      <c r="F404" s="6"/>
      <c r="G404" s="6"/>
    </row>
    <row r="405">
      <c r="F405" s="6"/>
      <c r="G405" s="6"/>
    </row>
    <row r="406">
      <c r="F406" s="6"/>
      <c r="G406" s="6"/>
    </row>
    <row r="407">
      <c r="F407" s="6"/>
      <c r="G407" s="6"/>
    </row>
    <row r="408">
      <c r="F408" s="6"/>
      <c r="G408" s="6"/>
    </row>
    <row r="409">
      <c r="F409" s="6"/>
      <c r="G409" s="6"/>
    </row>
    <row r="410">
      <c r="F410" s="6"/>
      <c r="G410" s="6"/>
    </row>
    <row r="411">
      <c r="F411" s="6"/>
      <c r="G411" s="6"/>
    </row>
    <row r="412">
      <c r="F412" s="6"/>
      <c r="G412" s="6"/>
    </row>
    <row r="413">
      <c r="F413" s="6"/>
      <c r="G413" s="6"/>
    </row>
    <row r="414">
      <c r="F414" s="6"/>
      <c r="G414" s="6"/>
    </row>
    <row r="415">
      <c r="F415" s="6"/>
      <c r="G415" s="6"/>
    </row>
    <row r="416">
      <c r="F416" s="6"/>
      <c r="G416" s="6"/>
    </row>
    <row r="417">
      <c r="F417" s="6"/>
      <c r="G417" s="6"/>
    </row>
    <row r="418">
      <c r="F418" s="6"/>
      <c r="G418" s="6"/>
    </row>
    <row r="419">
      <c r="F419" s="6"/>
      <c r="G419" s="6"/>
    </row>
    <row r="420">
      <c r="F420" s="6"/>
      <c r="G420" s="6"/>
    </row>
    <row r="421">
      <c r="F421" s="6"/>
      <c r="G421" s="6"/>
    </row>
    <row r="422">
      <c r="F422" s="6"/>
      <c r="G422" s="6"/>
    </row>
    <row r="423">
      <c r="F423" s="6"/>
      <c r="G423" s="6"/>
    </row>
    <row r="424">
      <c r="F424" s="6"/>
      <c r="G424" s="6"/>
    </row>
    <row r="425">
      <c r="F425" s="6"/>
      <c r="G425" s="6"/>
    </row>
    <row r="426">
      <c r="F426" s="6"/>
      <c r="G426" s="6"/>
    </row>
    <row r="427">
      <c r="F427" s="6"/>
      <c r="G427" s="6"/>
    </row>
    <row r="428">
      <c r="F428" s="6"/>
      <c r="G428" s="6"/>
    </row>
    <row r="429">
      <c r="F429" s="6"/>
      <c r="G429" s="6"/>
    </row>
    <row r="430">
      <c r="F430" s="6"/>
      <c r="G430" s="6"/>
    </row>
    <row r="431">
      <c r="F431" s="6"/>
      <c r="G431" s="6"/>
    </row>
    <row r="432">
      <c r="F432" s="6"/>
      <c r="G432" s="6"/>
    </row>
    <row r="433">
      <c r="F433" s="6"/>
      <c r="G433" s="6"/>
    </row>
    <row r="434">
      <c r="F434" s="6"/>
      <c r="G434" s="6"/>
    </row>
    <row r="435">
      <c r="F435" s="6"/>
      <c r="G435" s="6"/>
    </row>
    <row r="436">
      <c r="F436" s="6"/>
      <c r="G436" s="6"/>
    </row>
    <row r="437">
      <c r="F437" s="6"/>
      <c r="G437" s="6"/>
    </row>
    <row r="438">
      <c r="F438" s="6"/>
      <c r="G438" s="6"/>
    </row>
    <row r="439">
      <c r="F439" s="6"/>
      <c r="G439" s="6"/>
    </row>
    <row r="440">
      <c r="F440" s="6"/>
      <c r="G440" s="6"/>
    </row>
    <row r="441">
      <c r="F441" s="6"/>
      <c r="G441" s="6"/>
    </row>
    <row r="442">
      <c r="F442" s="6"/>
      <c r="G442" s="6"/>
    </row>
    <row r="443">
      <c r="F443" s="6"/>
      <c r="G443" s="6"/>
    </row>
    <row r="444">
      <c r="F444" s="6"/>
      <c r="G444" s="6"/>
    </row>
    <row r="445">
      <c r="F445" s="6"/>
      <c r="G445" s="6"/>
    </row>
    <row r="446">
      <c r="F446" s="6"/>
      <c r="G446" s="6"/>
    </row>
    <row r="447">
      <c r="F447" s="6"/>
      <c r="G447" s="6"/>
    </row>
    <row r="448">
      <c r="F448" s="6"/>
      <c r="G448" s="6"/>
    </row>
    <row r="449">
      <c r="F449" s="6"/>
      <c r="G449" s="6"/>
    </row>
    <row r="450">
      <c r="F450" s="6"/>
      <c r="G450" s="6"/>
    </row>
    <row r="451">
      <c r="F451" s="6"/>
      <c r="G451" s="6"/>
    </row>
    <row r="452">
      <c r="F452" s="6"/>
      <c r="G452" s="6"/>
    </row>
    <row r="453">
      <c r="F453" s="6"/>
      <c r="G453" s="6"/>
    </row>
    <row r="454">
      <c r="F454" s="6"/>
      <c r="G454" s="6"/>
    </row>
    <row r="455">
      <c r="F455" s="6"/>
      <c r="G455" s="6"/>
    </row>
    <row r="456">
      <c r="F456" s="6"/>
      <c r="G456" s="6"/>
    </row>
    <row r="457">
      <c r="F457" s="6"/>
      <c r="G457" s="6"/>
    </row>
    <row r="458">
      <c r="F458" s="6"/>
      <c r="G458" s="6"/>
    </row>
    <row r="459">
      <c r="F459" s="6"/>
      <c r="G459" s="6"/>
    </row>
    <row r="460">
      <c r="F460" s="6"/>
      <c r="G460" s="6"/>
    </row>
    <row r="461">
      <c r="F461" s="6"/>
      <c r="G461" s="6"/>
    </row>
    <row r="462">
      <c r="F462" s="6"/>
      <c r="G462" s="6"/>
    </row>
    <row r="463">
      <c r="F463" s="6"/>
      <c r="G463" s="6"/>
    </row>
    <row r="464">
      <c r="F464" s="6"/>
      <c r="G464" s="6"/>
    </row>
    <row r="465">
      <c r="F465" s="6"/>
      <c r="G465" s="6"/>
    </row>
    <row r="466">
      <c r="F466" s="6"/>
      <c r="G466" s="6"/>
    </row>
    <row r="467">
      <c r="F467" s="6"/>
      <c r="G467" s="6"/>
    </row>
    <row r="468">
      <c r="F468" s="6"/>
      <c r="G468" s="6"/>
    </row>
    <row r="469">
      <c r="F469" s="6"/>
      <c r="G469" s="6"/>
    </row>
    <row r="470">
      <c r="F470" s="6"/>
      <c r="G470" s="6"/>
    </row>
    <row r="471">
      <c r="F471" s="6"/>
      <c r="G471" s="6"/>
    </row>
    <row r="472">
      <c r="F472" s="6"/>
      <c r="G472" s="6"/>
    </row>
    <row r="473">
      <c r="F473" s="6"/>
      <c r="G473" s="6"/>
    </row>
    <row r="474">
      <c r="F474" s="6"/>
      <c r="G474" s="6"/>
    </row>
    <row r="475">
      <c r="F475" s="6"/>
      <c r="G475" s="6"/>
    </row>
    <row r="476">
      <c r="F476" s="6"/>
      <c r="G476" s="6"/>
    </row>
    <row r="477">
      <c r="F477" s="6"/>
      <c r="G477" s="6"/>
    </row>
    <row r="478">
      <c r="F478" s="6"/>
      <c r="G478" s="6"/>
    </row>
    <row r="479">
      <c r="F479" s="6"/>
      <c r="G479" s="6"/>
    </row>
    <row r="480">
      <c r="F480" s="6"/>
      <c r="G480" s="6"/>
    </row>
    <row r="481">
      <c r="F481" s="6"/>
      <c r="G481" s="6"/>
    </row>
    <row r="482">
      <c r="F482" s="6"/>
      <c r="G482" s="6"/>
    </row>
    <row r="483">
      <c r="F483" s="6"/>
      <c r="G483" s="6"/>
    </row>
    <row r="484">
      <c r="F484" s="6"/>
      <c r="G484" s="6"/>
    </row>
    <row r="485">
      <c r="F485" s="6"/>
      <c r="G485" s="6"/>
    </row>
    <row r="486">
      <c r="F486" s="6"/>
      <c r="G486" s="6"/>
    </row>
    <row r="487">
      <c r="F487" s="6"/>
      <c r="G487" s="6"/>
    </row>
    <row r="488">
      <c r="F488" s="6"/>
      <c r="G488" s="6"/>
    </row>
    <row r="489">
      <c r="F489" s="6"/>
      <c r="G489" s="6"/>
    </row>
    <row r="490">
      <c r="F490" s="6"/>
      <c r="G490" s="6"/>
    </row>
    <row r="491">
      <c r="F491" s="6"/>
      <c r="G491" s="6"/>
    </row>
    <row r="492">
      <c r="F492" s="6"/>
      <c r="G492" s="6"/>
    </row>
    <row r="493">
      <c r="F493" s="6"/>
      <c r="G493" s="6"/>
    </row>
    <row r="494">
      <c r="F494" s="6"/>
      <c r="G494" s="6"/>
    </row>
    <row r="495">
      <c r="F495" s="6"/>
      <c r="G495" s="6"/>
    </row>
    <row r="496">
      <c r="F496" s="6"/>
      <c r="G496" s="6"/>
    </row>
    <row r="497">
      <c r="F497" s="6"/>
      <c r="G497" s="6"/>
    </row>
    <row r="498">
      <c r="F498" s="6"/>
      <c r="G498" s="6"/>
    </row>
    <row r="499">
      <c r="F499" s="6"/>
      <c r="G499" s="6"/>
    </row>
    <row r="500">
      <c r="F500" s="6"/>
      <c r="G500" s="6"/>
    </row>
    <row r="501">
      <c r="F501" s="6"/>
      <c r="G501" s="6"/>
    </row>
    <row r="502">
      <c r="F502" s="6"/>
      <c r="G502" s="6"/>
    </row>
    <row r="503">
      <c r="F503" s="6"/>
      <c r="G503" s="6"/>
    </row>
    <row r="504">
      <c r="F504" s="6"/>
      <c r="G504" s="6"/>
    </row>
    <row r="505">
      <c r="F505" s="6"/>
      <c r="G505" s="6"/>
    </row>
    <row r="506">
      <c r="F506" s="6"/>
      <c r="G506" s="6"/>
    </row>
    <row r="507">
      <c r="F507" s="6"/>
      <c r="G507" s="6"/>
    </row>
    <row r="508">
      <c r="F508" s="6"/>
      <c r="G508" s="6"/>
    </row>
    <row r="509">
      <c r="F509" s="6"/>
      <c r="G509" s="6"/>
    </row>
    <row r="510">
      <c r="F510" s="6"/>
      <c r="G510" s="6"/>
    </row>
    <row r="511">
      <c r="F511" s="6"/>
      <c r="G511" s="6"/>
    </row>
    <row r="512">
      <c r="F512" s="6"/>
      <c r="G512" s="6"/>
    </row>
    <row r="513">
      <c r="F513" s="6"/>
      <c r="G513" s="6"/>
    </row>
    <row r="514">
      <c r="F514" s="6"/>
      <c r="G514" s="6"/>
    </row>
    <row r="515">
      <c r="F515" s="6"/>
      <c r="G515" s="6"/>
    </row>
    <row r="516">
      <c r="F516" s="6"/>
      <c r="G516" s="6"/>
    </row>
    <row r="517">
      <c r="F517" s="6"/>
      <c r="G517" s="6"/>
    </row>
    <row r="518">
      <c r="F518" s="6"/>
      <c r="G518" s="6"/>
    </row>
    <row r="519">
      <c r="F519" s="6"/>
      <c r="G519" s="6"/>
    </row>
    <row r="520">
      <c r="F520" s="6"/>
      <c r="G520" s="6"/>
    </row>
    <row r="521">
      <c r="F521" s="6"/>
      <c r="G521" s="6"/>
    </row>
    <row r="522">
      <c r="F522" s="6"/>
      <c r="G522" s="6"/>
    </row>
    <row r="523">
      <c r="F523" s="6"/>
      <c r="G523" s="6"/>
    </row>
    <row r="524">
      <c r="F524" s="6"/>
      <c r="G524" s="6"/>
    </row>
    <row r="525">
      <c r="F525" s="6"/>
      <c r="G525" s="6"/>
    </row>
    <row r="526">
      <c r="F526" s="6"/>
      <c r="G526" s="6"/>
    </row>
    <row r="527">
      <c r="F527" s="6"/>
      <c r="G527" s="6"/>
    </row>
    <row r="528">
      <c r="F528" s="6"/>
      <c r="G528" s="6"/>
    </row>
    <row r="529">
      <c r="F529" s="6"/>
      <c r="G529" s="6"/>
    </row>
    <row r="530">
      <c r="F530" s="6"/>
      <c r="G530" s="6"/>
    </row>
    <row r="531">
      <c r="F531" s="6"/>
      <c r="G531" s="6"/>
    </row>
    <row r="532">
      <c r="F532" s="6"/>
      <c r="G532" s="6"/>
    </row>
    <row r="533">
      <c r="F533" s="6"/>
      <c r="G533" s="6"/>
    </row>
    <row r="534">
      <c r="F534" s="6"/>
      <c r="G534" s="6"/>
    </row>
    <row r="535">
      <c r="F535" s="6"/>
      <c r="G535" s="6"/>
    </row>
    <row r="536">
      <c r="F536" s="6"/>
      <c r="G536" s="6"/>
    </row>
    <row r="537">
      <c r="F537" s="6"/>
      <c r="G537" s="6"/>
    </row>
    <row r="538">
      <c r="F538" s="6"/>
      <c r="G538" s="6"/>
    </row>
    <row r="539">
      <c r="F539" s="6"/>
      <c r="G539" s="6"/>
    </row>
    <row r="540">
      <c r="F540" s="6"/>
      <c r="G540" s="6"/>
    </row>
    <row r="541">
      <c r="F541" s="6"/>
      <c r="G541" s="6"/>
    </row>
    <row r="542">
      <c r="F542" s="6"/>
      <c r="G542" s="6"/>
    </row>
    <row r="543">
      <c r="F543" s="6"/>
      <c r="G543" s="6"/>
    </row>
    <row r="544">
      <c r="F544" s="6"/>
      <c r="G544" s="6"/>
    </row>
    <row r="545">
      <c r="F545" s="6"/>
      <c r="G545" s="6"/>
    </row>
    <row r="546">
      <c r="F546" s="6"/>
      <c r="G546" s="6"/>
    </row>
    <row r="547">
      <c r="F547" s="6"/>
      <c r="G547" s="6"/>
    </row>
    <row r="548">
      <c r="F548" s="6"/>
      <c r="G548" s="6"/>
    </row>
    <row r="549">
      <c r="F549" s="6"/>
      <c r="G549" s="6"/>
    </row>
    <row r="550">
      <c r="F550" s="6"/>
      <c r="G550" s="6"/>
    </row>
    <row r="551">
      <c r="F551" s="6"/>
      <c r="G551" s="6"/>
    </row>
    <row r="552">
      <c r="F552" s="6"/>
      <c r="G552" s="6"/>
    </row>
    <row r="553">
      <c r="F553" s="6"/>
      <c r="G553" s="6"/>
    </row>
    <row r="554">
      <c r="F554" s="6"/>
      <c r="G554" s="6"/>
    </row>
    <row r="555">
      <c r="F555" s="6"/>
      <c r="G555" s="6"/>
    </row>
    <row r="556">
      <c r="F556" s="6"/>
      <c r="G556" s="6"/>
    </row>
    <row r="557">
      <c r="F557" s="6"/>
      <c r="G557" s="6"/>
    </row>
    <row r="558">
      <c r="F558" s="6"/>
      <c r="G558" s="6"/>
    </row>
    <row r="559">
      <c r="F559" s="6"/>
      <c r="G559" s="6"/>
    </row>
    <row r="560">
      <c r="F560" s="6"/>
      <c r="G560" s="6"/>
    </row>
    <row r="561">
      <c r="F561" s="6"/>
      <c r="G561" s="6"/>
    </row>
    <row r="562">
      <c r="F562" s="6"/>
      <c r="G562" s="6"/>
    </row>
    <row r="563">
      <c r="F563" s="6"/>
      <c r="G563" s="6"/>
    </row>
    <row r="564">
      <c r="F564" s="6"/>
      <c r="G564" s="6"/>
    </row>
    <row r="565">
      <c r="F565" s="6"/>
      <c r="G565" s="6"/>
    </row>
    <row r="566">
      <c r="F566" s="6"/>
      <c r="G566" s="6"/>
    </row>
    <row r="567">
      <c r="F567" s="6"/>
      <c r="G567" s="6"/>
    </row>
    <row r="568">
      <c r="F568" s="6"/>
      <c r="G568" s="6"/>
    </row>
    <row r="569">
      <c r="F569" s="6"/>
      <c r="G569" s="6"/>
    </row>
    <row r="570">
      <c r="F570" s="6"/>
      <c r="G570" s="6"/>
    </row>
    <row r="571">
      <c r="F571" s="6"/>
      <c r="G571" s="6"/>
    </row>
    <row r="572">
      <c r="F572" s="6"/>
      <c r="G572" s="6"/>
    </row>
    <row r="573">
      <c r="F573" s="6"/>
      <c r="G573" s="6"/>
    </row>
    <row r="574">
      <c r="F574" s="6"/>
      <c r="G574" s="6"/>
    </row>
    <row r="575">
      <c r="F575" s="6"/>
      <c r="G575" s="6"/>
    </row>
    <row r="576">
      <c r="F576" s="6"/>
      <c r="G576" s="6"/>
    </row>
    <row r="577">
      <c r="F577" s="6"/>
      <c r="G577" s="6"/>
    </row>
    <row r="578">
      <c r="F578" s="6"/>
      <c r="G578" s="6"/>
    </row>
    <row r="579">
      <c r="F579" s="6"/>
      <c r="G579" s="6"/>
    </row>
    <row r="580">
      <c r="F580" s="6"/>
      <c r="G580" s="6"/>
    </row>
    <row r="581">
      <c r="F581" s="6"/>
      <c r="G581" s="6"/>
    </row>
    <row r="582">
      <c r="F582" s="6"/>
      <c r="G582" s="6"/>
    </row>
    <row r="583">
      <c r="F583" s="6"/>
      <c r="G583" s="6"/>
    </row>
    <row r="584">
      <c r="F584" s="6"/>
      <c r="G584" s="6"/>
    </row>
    <row r="585">
      <c r="F585" s="6"/>
      <c r="G585" s="6"/>
    </row>
    <row r="586">
      <c r="F586" s="6"/>
      <c r="G586" s="6"/>
    </row>
    <row r="587">
      <c r="F587" s="6"/>
      <c r="G587" s="6"/>
    </row>
    <row r="588">
      <c r="F588" s="6"/>
      <c r="G588" s="6"/>
    </row>
    <row r="589">
      <c r="F589" s="6"/>
      <c r="G589" s="6"/>
    </row>
    <row r="590">
      <c r="F590" s="6"/>
      <c r="G590" s="6"/>
    </row>
    <row r="591">
      <c r="F591" s="6"/>
      <c r="G591" s="6"/>
    </row>
    <row r="592">
      <c r="F592" s="6"/>
      <c r="G592" s="6"/>
    </row>
    <row r="593">
      <c r="F593" s="6"/>
      <c r="G593" s="6"/>
    </row>
    <row r="594">
      <c r="F594" s="6"/>
      <c r="G594" s="6"/>
    </row>
    <row r="595">
      <c r="F595" s="6"/>
      <c r="G595" s="6"/>
    </row>
    <row r="596">
      <c r="F596" s="6"/>
      <c r="G596" s="6"/>
    </row>
    <row r="597">
      <c r="F597" s="6"/>
      <c r="G597" s="6"/>
    </row>
    <row r="598">
      <c r="F598" s="6"/>
      <c r="G598" s="6"/>
    </row>
    <row r="599">
      <c r="F599" s="6"/>
      <c r="G599" s="6"/>
    </row>
    <row r="600">
      <c r="F600" s="6"/>
      <c r="G600" s="6"/>
    </row>
    <row r="601">
      <c r="F601" s="6"/>
      <c r="G601" s="6"/>
    </row>
    <row r="602">
      <c r="F602" s="6"/>
      <c r="G602" s="6"/>
    </row>
    <row r="603">
      <c r="F603" s="6"/>
      <c r="G603" s="6"/>
    </row>
    <row r="604">
      <c r="F604" s="6"/>
      <c r="G604" s="6"/>
    </row>
    <row r="605">
      <c r="F605" s="6"/>
      <c r="G605" s="6"/>
    </row>
    <row r="606">
      <c r="F606" s="6"/>
      <c r="G606" s="6"/>
    </row>
    <row r="607">
      <c r="F607" s="6"/>
      <c r="G607" s="6"/>
    </row>
    <row r="608">
      <c r="F608" s="6"/>
      <c r="G608" s="6"/>
    </row>
    <row r="609">
      <c r="F609" s="6"/>
      <c r="G609" s="6"/>
    </row>
    <row r="610">
      <c r="F610" s="6"/>
      <c r="G610" s="6"/>
    </row>
    <row r="611">
      <c r="F611" s="6"/>
      <c r="G611" s="6"/>
    </row>
    <row r="612">
      <c r="F612" s="6"/>
      <c r="G612" s="6"/>
    </row>
    <row r="613">
      <c r="F613" s="6"/>
      <c r="G613" s="6"/>
    </row>
    <row r="614">
      <c r="F614" s="6"/>
      <c r="G614" s="6"/>
    </row>
    <row r="615">
      <c r="F615" s="6"/>
      <c r="G615" s="6"/>
    </row>
    <row r="616">
      <c r="F616" s="6"/>
      <c r="G616" s="6"/>
    </row>
    <row r="617">
      <c r="F617" s="6"/>
      <c r="G617" s="6"/>
    </row>
    <row r="618">
      <c r="F618" s="6"/>
      <c r="G618" s="6"/>
    </row>
    <row r="619">
      <c r="F619" s="6"/>
      <c r="G619" s="6"/>
    </row>
    <row r="620">
      <c r="F620" s="6"/>
      <c r="G620" s="6"/>
    </row>
    <row r="621">
      <c r="F621" s="6"/>
      <c r="G621" s="6"/>
    </row>
    <row r="622">
      <c r="F622" s="6"/>
      <c r="G622" s="6"/>
    </row>
    <row r="623">
      <c r="F623" s="6"/>
      <c r="G623" s="6"/>
    </row>
    <row r="624">
      <c r="F624" s="6"/>
      <c r="G624" s="6"/>
    </row>
    <row r="625">
      <c r="F625" s="6"/>
      <c r="G625" s="6"/>
    </row>
    <row r="626">
      <c r="F626" s="6"/>
      <c r="G626" s="6"/>
    </row>
    <row r="627">
      <c r="F627" s="6"/>
      <c r="G627" s="6"/>
    </row>
    <row r="628">
      <c r="F628" s="6"/>
      <c r="G628" s="6"/>
    </row>
    <row r="629">
      <c r="F629" s="6"/>
      <c r="G629" s="6"/>
    </row>
    <row r="630">
      <c r="F630" s="6"/>
      <c r="G630" s="6"/>
    </row>
    <row r="631">
      <c r="F631" s="6"/>
      <c r="G631" s="6"/>
    </row>
    <row r="632">
      <c r="F632" s="6"/>
      <c r="G632" s="6"/>
    </row>
    <row r="633">
      <c r="F633" s="6"/>
      <c r="G633" s="6"/>
    </row>
    <row r="634">
      <c r="F634" s="6"/>
      <c r="G634" s="6"/>
    </row>
    <row r="635">
      <c r="F635" s="6"/>
      <c r="G635" s="6"/>
    </row>
    <row r="636">
      <c r="F636" s="6"/>
      <c r="G636" s="6"/>
    </row>
    <row r="637">
      <c r="F637" s="6"/>
      <c r="G637" s="6"/>
    </row>
    <row r="638">
      <c r="F638" s="6"/>
      <c r="G638" s="6"/>
    </row>
    <row r="639">
      <c r="F639" s="6"/>
      <c r="G639" s="6"/>
    </row>
    <row r="640">
      <c r="F640" s="6"/>
      <c r="G640" s="6"/>
    </row>
    <row r="641">
      <c r="F641" s="6"/>
      <c r="G641" s="6"/>
    </row>
    <row r="642">
      <c r="F642" s="6"/>
      <c r="G642" s="6"/>
    </row>
    <row r="643">
      <c r="F643" s="6"/>
      <c r="G643" s="6"/>
    </row>
    <row r="644">
      <c r="F644" s="6"/>
      <c r="G644" s="6"/>
    </row>
    <row r="645">
      <c r="F645" s="6"/>
      <c r="G645" s="6"/>
    </row>
    <row r="646">
      <c r="F646" s="6"/>
      <c r="G646" s="6"/>
    </row>
    <row r="647">
      <c r="F647" s="6"/>
      <c r="G647" s="6"/>
    </row>
    <row r="648">
      <c r="F648" s="6"/>
      <c r="G648" s="6"/>
    </row>
    <row r="649">
      <c r="F649" s="6"/>
      <c r="G649" s="6"/>
    </row>
    <row r="650">
      <c r="F650" s="6"/>
      <c r="G650" s="6"/>
    </row>
    <row r="651">
      <c r="F651" s="6"/>
      <c r="G651" s="6"/>
    </row>
    <row r="652">
      <c r="F652" s="6"/>
      <c r="G652" s="6"/>
    </row>
    <row r="653">
      <c r="F653" s="6"/>
      <c r="G653" s="6"/>
    </row>
    <row r="654">
      <c r="F654" s="6"/>
      <c r="G654" s="6"/>
    </row>
    <row r="655">
      <c r="F655" s="6"/>
      <c r="G655" s="6"/>
    </row>
    <row r="656">
      <c r="F656" s="6"/>
      <c r="G656" s="6"/>
    </row>
    <row r="657">
      <c r="F657" s="6"/>
      <c r="G657" s="6"/>
    </row>
    <row r="658">
      <c r="F658" s="6"/>
      <c r="G658" s="6"/>
    </row>
    <row r="659">
      <c r="F659" s="6"/>
      <c r="G659" s="6"/>
    </row>
    <row r="660">
      <c r="F660" s="6"/>
      <c r="G660" s="6"/>
    </row>
    <row r="661">
      <c r="F661" s="6"/>
      <c r="G661" s="6"/>
    </row>
    <row r="662">
      <c r="F662" s="6"/>
      <c r="G662" s="6"/>
    </row>
    <row r="663">
      <c r="F663" s="6"/>
      <c r="G663" s="6"/>
    </row>
    <row r="664">
      <c r="F664" s="6"/>
      <c r="G664" s="6"/>
    </row>
    <row r="665">
      <c r="F665" s="6"/>
      <c r="G665" s="6"/>
    </row>
    <row r="666">
      <c r="F666" s="6"/>
      <c r="G666" s="6"/>
    </row>
    <row r="667">
      <c r="F667" s="6"/>
      <c r="G667" s="6"/>
    </row>
    <row r="668">
      <c r="F668" s="6"/>
      <c r="G668" s="6"/>
    </row>
    <row r="669">
      <c r="F669" s="6"/>
      <c r="G669" s="6"/>
    </row>
    <row r="670">
      <c r="F670" s="6"/>
      <c r="G670" s="6"/>
    </row>
    <row r="671">
      <c r="F671" s="6"/>
      <c r="G671" s="6"/>
    </row>
    <row r="672">
      <c r="F672" s="6"/>
      <c r="G672" s="6"/>
    </row>
    <row r="673">
      <c r="F673" s="6"/>
      <c r="G673" s="6"/>
    </row>
    <row r="674">
      <c r="F674" s="6"/>
      <c r="G674" s="6"/>
    </row>
    <row r="675">
      <c r="F675" s="6"/>
      <c r="G675" s="6"/>
    </row>
    <row r="676">
      <c r="F676" s="6"/>
      <c r="G676" s="6"/>
    </row>
    <row r="677">
      <c r="F677" s="6"/>
      <c r="G677" s="6"/>
    </row>
    <row r="678">
      <c r="F678" s="6"/>
      <c r="G678" s="6"/>
    </row>
    <row r="679">
      <c r="F679" s="6"/>
      <c r="G679" s="6"/>
    </row>
    <row r="680">
      <c r="F680" s="6"/>
      <c r="G680" s="6"/>
    </row>
    <row r="681">
      <c r="F681" s="6"/>
      <c r="G681" s="6"/>
    </row>
    <row r="682">
      <c r="F682" s="6"/>
      <c r="G682" s="6"/>
    </row>
    <row r="683">
      <c r="F683" s="6"/>
      <c r="G683" s="6"/>
    </row>
    <row r="684">
      <c r="F684" s="6"/>
      <c r="G684" s="6"/>
    </row>
    <row r="685">
      <c r="F685" s="6"/>
      <c r="G685" s="6"/>
    </row>
    <row r="686">
      <c r="F686" s="6"/>
      <c r="G686" s="6"/>
    </row>
    <row r="687">
      <c r="F687" s="6"/>
      <c r="G687" s="6"/>
    </row>
    <row r="688">
      <c r="F688" s="6"/>
      <c r="G688" s="6"/>
    </row>
    <row r="689">
      <c r="F689" s="6"/>
      <c r="G689" s="6"/>
    </row>
    <row r="690">
      <c r="F690" s="6"/>
      <c r="G690" s="6"/>
    </row>
    <row r="691">
      <c r="F691" s="6"/>
      <c r="G691" s="6"/>
    </row>
    <row r="692">
      <c r="F692" s="6"/>
      <c r="G692" s="6"/>
    </row>
    <row r="693">
      <c r="F693" s="6"/>
      <c r="G693" s="6"/>
    </row>
    <row r="694">
      <c r="F694" s="6"/>
      <c r="G694" s="6"/>
    </row>
    <row r="695">
      <c r="F695" s="6"/>
      <c r="G695" s="6"/>
    </row>
    <row r="696">
      <c r="F696" s="6"/>
      <c r="G696" s="6"/>
    </row>
    <row r="697">
      <c r="F697" s="6"/>
      <c r="G697" s="6"/>
    </row>
    <row r="698">
      <c r="F698" s="6"/>
      <c r="G698" s="6"/>
    </row>
    <row r="699">
      <c r="F699" s="6"/>
      <c r="G699" s="6"/>
    </row>
    <row r="700">
      <c r="F700" s="6"/>
      <c r="G700" s="6"/>
    </row>
    <row r="701">
      <c r="F701" s="6"/>
      <c r="G701" s="6"/>
    </row>
    <row r="702">
      <c r="F702" s="6"/>
      <c r="G702" s="6"/>
    </row>
    <row r="703">
      <c r="F703" s="6"/>
      <c r="G703" s="6"/>
    </row>
    <row r="704">
      <c r="F704" s="6"/>
      <c r="G704" s="6"/>
    </row>
    <row r="705">
      <c r="F705" s="6"/>
      <c r="G705" s="6"/>
    </row>
    <row r="706">
      <c r="F706" s="6"/>
      <c r="G706" s="6"/>
    </row>
    <row r="707">
      <c r="F707" s="6"/>
      <c r="G707" s="6"/>
    </row>
    <row r="708">
      <c r="F708" s="6"/>
      <c r="G708" s="6"/>
    </row>
    <row r="709">
      <c r="F709" s="6"/>
      <c r="G709" s="6"/>
    </row>
    <row r="710">
      <c r="F710" s="6"/>
      <c r="G710" s="6"/>
    </row>
    <row r="711">
      <c r="F711" s="6"/>
      <c r="G711" s="6"/>
    </row>
    <row r="712">
      <c r="F712" s="6"/>
      <c r="G712" s="6"/>
    </row>
    <row r="713">
      <c r="F713" s="6"/>
      <c r="G713" s="6"/>
    </row>
    <row r="714">
      <c r="F714" s="6"/>
      <c r="G714" s="6"/>
    </row>
    <row r="715">
      <c r="F715" s="6"/>
      <c r="G715" s="6"/>
    </row>
    <row r="716">
      <c r="F716" s="6"/>
      <c r="G716" s="6"/>
    </row>
    <row r="717">
      <c r="F717" s="6"/>
      <c r="G717" s="6"/>
    </row>
    <row r="718">
      <c r="F718" s="6"/>
      <c r="G718" s="6"/>
    </row>
    <row r="719">
      <c r="F719" s="6"/>
      <c r="G719" s="6"/>
    </row>
    <row r="720">
      <c r="F720" s="6"/>
      <c r="G720" s="6"/>
    </row>
    <row r="721">
      <c r="F721" s="6"/>
      <c r="G721" s="6"/>
    </row>
    <row r="722">
      <c r="F722" s="6"/>
      <c r="G722" s="6"/>
    </row>
    <row r="723">
      <c r="F723" s="6"/>
      <c r="G723" s="6"/>
    </row>
    <row r="724">
      <c r="F724" s="6"/>
      <c r="G724" s="6"/>
    </row>
    <row r="725">
      <c r="F725" s="6"/>
      <c r="G725" s="6"/>
    </row>
    <row r="726">
      <c r="F726" s="6"/>
      <c r="G726" s="6"/>
    </row>
    <row r="727">
      <c r="F727" s="6"/>
      <c r="G727" s="6"/>
    </row>
    <row r="728">
      <c r="F728" s="6"/>
      <c r="G728" s="6"/>
    </row>
    <row r="729">
      <c r="F729" s="6"/>
      <c r="G729" s="6"/>
    </row>
    <row r="730">
      <c r="F730" s="6"/>
      <c r="G730" s="6"/>
    </row>
    <row r="731">
      <c r="F731" s="6"/>
      <c r="G731" s="6"/>
    </row>
    <row r="732">
      <c r="F732" s="6"/>
      <c r="G732" s="6"/>
    </row>
    <row r="733">
      <c r="F733" s="6"/>
      <c r="G733" s="6"/>
    </row>
    <row r="734">
      <c r="F734" s="6"/>
      <c r="G734" s="6"/>
    </row>
    <row r="735">
      <c r="F735" s="6"/>
      <c r="G735" s="6"/>
    </row>
    <row r="736">
      <c r="F736" s="6"/>
      <c r="G736" s="6"/>
    </row>
    <row r="737">
      <c r="F737" s="6"/>
      <c r="G737" s="6"/>
    </row>
    <row r="738">
      <c r="F738" s="6"/>
      <c r="G738" s="6"/>
    </row>
    <row r="739">
      <c r="F739" s="6"/>
      <c r="G739" s="6"/>
    </row>
    <row r="740">
      <c r="F740" s="6"/>
      <c r="G740" s="6"/>
    </row>
    <row r="741">
      <c r="F741" s="6"/>
      <c r="G741" s="6"/>
    </row>
    <row r="742">
      <c r="F742" s="6"/>
      <c r="G742" s="6"/>
    </row>
    <row r="743">
      <c r="F743" s="6"/>
      <c r="G743" s="6"/>
    </row>
    <row r="744">
      <c r="F744" s="6"/>
      <c r="G744" s="6"/>
    </row>
    <row r="745">
      <c r="F745" s="6"/>
      <c r="G745" s="6"/>
    </row>
    <row r="746">
      <c r="F746" s="6"/>
      <c r="G746" s="6"/>
    </row>
    <row r="747">
      <c r="F747" s="6"/>
      <c r="G747" s="6"/>
    </row>
    <row r="748">
      <c r="F748" s="6"/>
      <c r="G748" s="6"/>
    </row>
    <row r="749">
      <c r="F749" s="6"/>
      <c r="G749" s="6"/>
    </row>
    <row r="750">
      <c r="F750" s="6"/>
      <c r="G750" s="6"/>
    </row>
    <row r="751">
      <c r="F751" s="6"/>
      <c r="G751" s="6"/>
    </row>
    <row r="752">
      <c r="F752" s="6"/>
      <c r="G752" s="6"/>
    </row>
    <row r="753">
      <c r="F753" s="6"/>
      <c r="G753" s="6"/>
    </row>
    <row r="754">
      <c r="F754" s="6"/>
      <c r="G754" s="6"/>
    </row>
    <row r="755">
      <c r="F755" s="6"/>
      <c r="G755" s="6"/>
    </row>
    <row r="756">
      <c r="F756" s="6"/>
      <c r="G756" s="6"/>
    </row>
    <row r="757">
      <c r="F757" s="6"/>
      <c r="G757" s="6"/>
    </row>
    <row r="758">
      <c r="F758" s="6"/>
      <c r="G758" s="6"/>
    </row>
    <row r="759">
      <c r="F759" s="6"/>
      <c r="G759" s="6"/>
    </row>
    <row r="760">
      <c r="F760" s="6"/>
      <c r="G760" s="6"/>
    </row>
    <row r="761">
      <c r="F761" s="6"/>
      <c r="G761" s="6"/>
    </row>
    <row r="762">
      <c r="F762" s="6"/>
      <c r="G762" s="6"/>
    </row>
    <row r="763">
      <c r="F763" s="6"/>
      <c r="G763" s="6"/>
    </row>
    <row r="764">
      <c r="F764" s="6"/>
      <c r="G764" s="6"/>
    </row>
    <row r="765">
      <c r="F765" s="6"/>
      <c r="G765" s="6"/>
    </row>
    <row r="766">
      <c r="F766" s="6"/>
      <c r="G766" s="6"/>
    </row>
    <row r="767">
      <c r="F767" s="6"/>
      <c r="G767" s="6"/>
    </row>
    <row r="768">
      <c r="F768" s="6"/>
      <c r="G768" s="6"/>
    </row>
    <row r="769">
      <c r="F769" s="6"/>
      <c r="G769" s="6"/>
    </row>
    <row r="770">
      <c r="F770" s="6"/>
      <c r="G770" s="6"/>
    </row>
    <row r="771">
      <c r="F771" s="6"/>
      <c r="G771" s="6"/>
    </row>
    <row r="772">
      <c r="F772" s="6"/>
      <c r="G772" s="6"/>
    </row>
    <row r="773">
      <c r="F773" s="6"/>
      <c r="G773" s="6"/>
    </row>
    <row r="774">
      <c r="F774" s="6"/>
      <c r="G774" s="6"/>
    </row>
    <row r="775">
      <c r="F775" s="6"/>
      <c r="G775" s="6"/>
    </row>
    <row r="776">
      <c r="F776" s="6"/>
      <c r="G776" s="6"/>
    </row>
    <row r="777">
      <c r="F777" s="6"/>
      <c r="G777" s="6"/>
    </row>
    <row r="778">
      <c r="F778" s="6"/>
      <c r="G778" s="6"/>
    </row>
    <row r="779">
      <c r="F779" s="6"/>
      <c r="G779" s="6"/>
    </row>
    <row r="780">
      <c r="F780" s="6"/>
      <c r="G780" s="6"/>
    </row>
    <row r="781">
      <c r="F781" s="6"/>
      <c r="G781" s="6"/>
    </row>
    <row r="782">
      <c r="F782" s="6"/>
      <c r="G782" s="6"/>
    </row>
    <row r="783">
      <c r="F783" s="6"/>
      <c r="G783" s="6"/>
    </row>
    <row r="784">
      <c r="F784" s="6"/>
      <c r="G784" s="6"/>
    </row>
    <row r="785">
      <c r="F785" s="6"/>
      <c r="G785" s="6"/>
    </row>
    <row r="786">
      <c r="F786" s="6"/>
      <c r="G786" s="6"/>
    </row>
    <row r="787">
      <c r="F787" s="6"/>
      <c r="G787" s="6"/>
    </row>
    <row r="788">
      <c r="F788" s="6"/>
      <c r="G788" s="6"/>
    </row>
    <row r="789">
      <c r="F789" s="6"/>
      <c r="G789" s="6"/>
    </row>
    <row r="790">
      <c r="F790" s="6"/>
      <c r="G790" s="6"/>
    </row>
    <row r="791">
      <c r="F791" s="6"/>
      <c r="G791" s="6"/>
    </row>
    <row r="792">
      <c r="F792" s="6"/>
      <c r="G792" s="6"/>
    </row>
    <row r="793">
      <c r="F793" s="6"/>
      <c r="G793" s="6"/>
    </row>
    <row r="794">
      <c r="F794" s="6"/>
      <c r="G794" s="6"/>
    </row>
    <row r="795">
      <c r="F795" s="6"/>
      <c r="G795" s="6"/>
    </row>
    <row r="796">
      <c r="F796" s="6"/>
      <c r="G796" s="6"/>
    </row>
    <row r="797">
      <c r="F797" s="6"/>
      <c r="G797" s="6"/>
    </row>
    <row r="798">
      <c r="F798" s="6"/>
      <c r="G798" s="6"/>
    </row>
    <row r="799">
      <c r="F799" s="6"/>
      <c r="G799" s="6"/>
    </row>
    <row r="800">
      <c r="F800" s="6"/>
      <c r="G800" s="6"/>
    </row>
    <row r="801">
      <c r="F801" s="6"/>
      <c r="G801" s="6"/>
    </row>
    <row r="802">
      <c r="F802" s="6"/>
      <c r="G802" s="6"/>
    </row>
    <row r="803">
      <c r="F803" s="6"/>
      <c r="G803" s="6"/>
    </row>
    <row r="804">
      <c r="F804" s="6"/>
      <c r="G804" s="6"/>
    </row>
    <row r="805">
      <c r="F805" s="6"/>
      <c r="G805" s="6"/>
    </row>
    <row r="806">
      <c r="F806" s="6"/>
      <c r="G806" s="6"/>
    </row>
    <row r="807">
      <c r="F807" s="6"/>
      <c r="G807" s="6"/>
    </row>
    <row r="808">
      <c r="F808" s="6"/>
      <c r="G808" s="6"/>
    </row>
    <row r="809">
      <c r="F809" s="6"/>
      <c r="G809" s="6"/>
    </row>
    <row r="810">
      <c r="F810" s="6"/>
      <c r="G810" s="6"/>
    </row>
    <row r="811">
      <c r="F811" s="6"/>
      <c r="G811" s="6"/>
    </row>
    <row r="812">
      <c r="F812" s="6"/>
      <c r="G812" s="6"/>
    </row>
    <row r="813">
      <c r="F813" s="6"/>
      <c r="G813" s="6"/>
    </row>
    <row r="814">
      <c r="F814" s="6"/>
      <c r="G814" s="6"/>
    </row>
    <row r="815">
      <c r="F815" s="6"/>
      <c r="G815" s="6"/>
    </row>
    <row r="816">
      <c r="F816" s="6"/>
      <c r="G816" s="6"/>
    </row>
    <row r="817">
      <c r="F817" s="6"/>
      <c r="G817" s="6"/>
    </row>
    <row r="818">
      <c r="F818" s="6"/>
      <c r="G818" s="6"/>
    </row>
    <row r="819">
      <c r="F819" s="6"/>
      <c r="G819" s="6"/>
    </row>
    <row r="820">
      <c r="F820" s="6"/>
      <c r="G820" s="6"/>
    </row>
    <row r="821">
      <c r="F821" s="6"/>
      <c r="G821" s="6"/>
    </row>
    <row r="822">
      <c r="F822" s="6"/>
      <c r="G822" s="6"/>
    </row>
    <row r="823">
      <c r="F823" s="6"/>
      <c r="G823" s="6"/>
    </row>
    <row r="824">
      <c r="F824" s="6"/>
      <c r="G824" s="6"/>
    </row>
    <row r="825">
      <c r="F825" s="6"/>
      <c r="G825" s="6"/>
    </row>
    <row r="826">
      <c r="F826" s="6"/>
      <c r="G826" s="6"/>
    </row>
    <row r="827">
      <c r="F827" s="6"/>
      <c r="G827" s="6"/>
    </row>
    <row r="828">
      <c r="F828" s="6"/>
      <c r="G828" s="6"/>
    </row>
    <row r="829">
      <c r="F829" s="6"/>
      <c r="G829" s="6"/>
    </row>
    <row r="830">
      <c r="F830" s="6"/>
      <c r="G830" s="6"/>
    </row>
    <row r="831">
      <c r="F831" s="6"/>
      <c r="G831" s="6"/>
    </row>
    <row r="832">
      <c r="F832" s="6"/>
      <c r="G832" s="6"/>
    </row>
    <row r="833">
      <c r="F833" s="6"/>
      <c r="G833" s="6"/>
    </row>
    <row r="834">
      <c r="F834" s="6"/>
      <c r="G834" s="6"/>
    </row>
    <row r="835">
      <c r="F835" s="6"/>
      <c r="G835" s="6"/>
    </row>
    <row r="836">
      <c r="F836" s="6"/>
      <c r="G836" s="6"/>
    </row>
    <row r="837">
      <c r="F837" s="6"/>
      <c r="G837" s="6"/>
    </row>
    <row r="838">
      <c r="F838" s="6"/>
      <c r="G838" s="6"/>
    </row>
    <row r="839">
      <c r="F839" s="6"/>
      <c r="G839" s="6"/>
    </row>
    <row r="840">
      <c r="F840" s="6"/>
      <c r="G840" s="6"/>
    </row>
    <row r="841">
      <c r="F841" s="6"/>
      <c r="G841" s="6"/>
    </row>
    <row r="842">
      <c r="F842" s="6"/>
      <c r="G842" s="6"/>
    </row>
    <row r="843">
      <c r="F843" s="6"/>
      <c r="G843" s="6"/>
    </row>
    <row r="844">
      <c r="F844" s="6"/>
      <c r="G844" s="6"/>
    </row>
    <row r="845">
      <c r="F845" s="6"/>
      <c r="G845" s="6"/>
    </row>
    <row r="846">
      <c r="F846" s="6"/>
      <c r="G846" s="6"/>
    </row>
    <row r="847">
      <c r="F847" s="6"/>
      <c r="G847" s="6"/>
    </row>
    <row r="848">
      <c r="F848" s="6"/>
      <c r="G848" s="6"/>
    </row>
    <row r="849">
      <c r="F849" s="6"/>
      <c r="G849" s="6"/>
    </row>
    <row r="850">
      <c r="F850" s="6"/>
      <c r="G850" s="6"/>
    </row>
    <row r="851">
      <c r="F851" s="6"/>
      <c r="G851" s="6"/>
    </row>
    <row r="852">
      <c r="F852" s="6"/>
      <c r="G852" s="6"/>
    </row>
    <row r="853">
      <c r="F853" s="6"/>
      <c r="G853" s="6"/>
    </row>
    <row r="854">
      <c r="F854" s="6"/>
      <c r="G854" s="6"/>
    </row>
    <row r="855">
      <c r="F855" s="6"/>
      <c r="G855" s="6"/>
    </row>
    <row r="856">
      <c r="F856" s="6"/>
      <c r="G856" s="6"/>
    </row>
    <row r="857">
      <c r="F857" s="6"/>
      <c r="G857" s="6"/>
    </row>
    <row r="858">
      <c r="F858" s="6"/>
      <c r="G858" s="6"/>
    </row>
    <row r="859">
      <c r="F859" s="6"/>
      <c r="G859" s="6"/>
    </row>
    <row r="860">
      <c r="F860" s="6"/>
      <c r="G860" s="6"/>
    </row>
    <row r="861">
      <c r="F861" s="6"/>
      <c r="G861" s="6"/>
    </row>
    <row r="862">
      <c r="F862" s="6"/>
      <c r="G862" s="6"/>
    </row>
    <row r="863">
      <c r="F863" s="6"/>
      <c r="G863" s="6"/>
    </row>
    <row r="864">
      <c r="F864" s="6"/>
      <c r="G864" s="6"/>
    </row>
    <row r="865">
      <c r="F865" s="6"/>
      <c r="G865" s="6"/>
    </row>
    <row r="866">
      <c r="F866" s="6"/>
      <c r="G866" s="6"/>
    </row>
    <row r="867">
      <c r="F867" s="6"/>
      <c r="G867" s="6"/>
    </row>
    <row r="868">
      <c r="F868" s="6"/>
      <c r="G868" s="6"/>
    </row>
    <row r="869">
      <c r="F869" s="6"/>
      <c r="G869" s="6"/>
    </row>
    <row r="870">
      <c r="F870" s="6"/>
      <c r="G870" s="6"/>
    </row>
    <row r="871">
      <c r="F871" s="6"/>
      <c r="G871" s="6"/>
    </row>
    <row r="872">
      <c r="F872" s="6"/>
      <c r="G872" s="6"/>
    </row>
    <row r="873">
      <c r="F873" s="6"/>
      <c r="G873" s="6"/>
    </row>
    <row r="874">
      <c r="F874" s="6"/>
      <c r="G874" s="6"/>
    </row>
    <row r="875">
      <c r="F875" s="6"/>
      <c r="G875" s="6"/>
    </row>
    <row r="876">
      <c r="F876" s="6"/>
      <c r="G876" s="6"/>
    </row>
    <row r="877">
      <c r="F877" s="6"/>
      <c r="G877" s="6"/>
    </row>
    <row r="878">
      <c r="F878" s="6"/>
      <c r="G878" s="6"/>
    </row>
    <row r="879">
      <c r="F879" s="6"/>
      <c r="G879" s="6"/>
    </row>
    <row r="880">
      <c r="F880" s="6"/>
      <c r="G880" s="6"/>
    </row>
    <row r="881">
      <c r="F881" s="6"/>
      <c r="G881" s="6"/>
    </row>
    <row r="882">
      <c r="F882" s="6"/>
      <c r="G882" s="6"/>
    </row>
    <row r="883">
      <c r="F883" s="6"/>
      <c r="G883" s="6"/>
    </row>
    <row r="884">
      <c r="F884" s="6"/>
      <c r="G884" s="6"/>
    </row>
    <row r="885">
      <c r="F885" s="6"/>
      <c r="G885" s="6"/>
    </row>
    <row r="886">
      <c r="F886" s="6"/>
      <c r="G886" s="6"/>
    </row>
    <row r="887">
      <c r="F887" s="6"/>
      <c r="G887" s="6"/>
    </row>
    <row r="888">
      <c r="F888" s="6"/>
      <c r="G888" s="6"/>
    </row>
    <row r="889">
      <c r="F889" s="6"/>
      <c r="G889" s="6"/>
    </row>
    <row r="890">
      <c r="F890" s="6"/>
      <c r="G890" s="6"/>
    </row>
    <row r="891">
      <c r="F891" s="6"/>
      <c r="G891" s="6"/>
    </row>
    <row r="892">
      <c r="F892" s="6"/>
      <c r="G892" s="6"/>
    </row>
    <row r="893">
      <c r="F893" s="6"/>
      <c r="G893" s="6"/>
    </row>
    <row r="894">
      <c r="F894" s="6"/>
      <c r="G894" s="6"/>
    </row>
    <row r="895">
      <c r="F895" s="6"/>
      <c r="G895" s="6"/>
    </row>
    <row r="896">
      <c r="F896" s="6"/>
      <c r="G896" s="6"/>
    </row>
    <row r="897">
      <c r="F897" s="6"/>
      <c r="G897" s="6"/>
    </row>
    <row r="898">
      <c r="F898" s="6"/>
      <c r="G898" s="6"/>
    </row>
    <row r="899">
      <c r="F899" s="6"/>
      <c r="G899" s="6"/>
    </row>
    <row r="900">
      <c r="F900" s="6"/>
      <c r="G900" s="6"/>
    </row>
    <row r="901">
      <c r="F901" s="6"/>
      <c r="G901" s="6"/>
    </row>
    <row r="902">
      <c r="F902" s="6"/>
      <c r="G902" s="6"/>
    </row>
    <row r="903">
      <c r="F903" s="6"/>
      <c r="G903" s="6"/>
    </row>
    <row r="904">
      <c r="F904" s="6"/>
      <c r="G904" s="6"/>
    </row>
    <row r="905">
      <c r="F905" s="6"/>
      <c r="G905" s="6"/>
    </row>
    <row r="906">
      <c r="F906" s="6"/>
      <c r="G906" s="6"/>
    </row>
    <row r="907">
      <c r="F907" s="6"/>
      <c r="G907" s="6"/>
    </row>
    <row r="908">
      <c r="F908" s="6"/>
      <c r="G908" s="6"/>
    </row>
    <row r="909">
      <c r="F909" s="6"/>
      <c r="G909" s="6"/>
    </row>
    <row r="910">
      <c r="F910" s="6"/>
      <c r="G910" s="6"/>
    </row>
    <row r="911">
      <c r="F911" s="6"/>
      <c r="G911" s="6"/>
    </row>
    <row r="912">
      <c r="F912" s="6"/>
      <c r="G912" s="6"/>
    </row>
    <row r="913">
      <c r="F913" s="6"/>
      <c r="G913" s="6"/>
    </row>
    <row r="914">
      <c r="F914" s="6"/>
      <c r="G914" s="6"/>
    </row>
    <row r="915">
      <c r="F915" s="6"/>
      <c r="G915" s="6"/>
    </row>
    <row r="916">
      <c r="F916" s="6"/>
      <c r="G916" s="6"/>
    </row>
    <row r="917">
      <c r="F917" s="6"/>
      <c r="G917" s="6"/>
    </row>
    <row r="918">
      <c r="F918" s="6"/>
      <c r="G918" s="6"/>
    </row>
    <row r="919">
      <c r="F919" s="6"/>
      <c r="G919" s="6"/>
    </row>
    <row r="920">
      <c r="F920" s="6"/>
      <c r="G920" s="6"/>
    </row>
    <row r="921">
      <c r="F921" s="6"/>
      <c r="G921" s="6"/>
    </row>
    <row r="922">
      <c r="F922" s="6"/>
      <c r="G922" s="6"/>
    </row>
    <row r="923">
      <c r="F923" s="6"/>
      <c r="G923" s="6"/>
    </row>
    <row r="924">
      <c r="F924" s="6"/>
      <c r="G924" s="6"/>
    </row>
    <row r="925">
      <c r="F925" s="6"/>
      <c r="G925" s="6"/>
    </row>
    <row r="926">
      <c r="F926" s="6"/>
      <c r="G926" s="6"/>
    </row>
    <row r="927">
      <c r="F927" s="6"/>
      <c r="G927" s="6"/>
    </row>
    <row r="928">
      <c r="F928" s="6"/>
      <c r="G928" s="6"/>
    </row>
    <row r="929">
      <c r="F929" s="6"/>
      <c r="G929" s="6"/>
    </row>
    <row r="930">
      <c r="F930" s="6"/>
      <c r="G930" s="6"/>
    </row>
    <row r="931">
      <c r="F931" s="6"/>
      <c r="G931" s="6"/>
    </row>
    <row r="932">
      <c r="F932" s="6"/>
      <c r="G932" s="6"/>
    </row>
    <row r="933">
      <c r="F933" s="6"/>
      <c r="G933" s="6"/>
    </row>
    <row r="934">
      <c r="F934" s="6"/>
      <c r="G934" s="6"/>
    </row>
    <row r="935">
      <c r="F935" s="6"/>
      <c r="G935" s="6"/>
    </row>
    <row r="936">
      <c r="F936" s="6"/>
      <c r="G936" s="6"/>
    </row>
    <row r="937">
      <c r="F937" s="6"/>
      <c r="G937" s="6"/>
    </row>
    <row r="938">
      <c r="F938" s="6"/>
      <c r="G938" s="6"/>
    </row>
    <row r="939">
      <c r="F939" s="6"/>
      <c r="G939" s="6"/>
    </row>
    <row r="940">
      <c r="F940" s="6"/>
      <c r="G940" s="6"/>
    </row>
    <row r="941">
      <c r="F941" s="6"/>
      <c r="G941" s="6"/>
    </row>
    <row r="942">
      <c r="F942" s="6"/>
      <c r="G942" s="6"/>
    </row>
    <row r="943">
      <c r="F943" s="6"/>
      <c r="G943" s="6"/>
    </row>
    <row r="944">
      <c r="F944" s="6"/>
      <c r="G944" s="6"/>
    </row>
    <row r="945">
      <c r="F945" s="6"/>
      <c r="G945" s="6"/>
    </row>
    <row r="946">
      <c r="F946" s="6"/>
      <c r="G946" s="6"/>
    </row>
    <row r="947">
      <c r="F947" s="6"/>
      <c r="G947" s="6"/>
    </row>
    <row r="948">
      <c r="F948" s="6"/>
      <c r="G948" s="6"/>
    </row>
    <row r="949">
      <c r="F949" s="6"/>
      <c r="G949" s="6"/>
    </row>
    <row r="950">
      <c r="F950" s="6"/>
      <c r="G950" s="6"/>
    </row>
    <row r="951">
      <c r="F951" s="6"/>
      <c r="G951" s="6"/>
    </row>
    <row r="952">
      <c r="F952" s="6"/>
      <c r="G952" s="6"/>
    </row>
    <row r="953">
      <c r="F953" s="6"/>
      <c r="G953" s="6"/>
    </row>
    <row r="954">
      <c r="F954" s="6"/>
      <c r="G954" s="6"/>
    </row>
    <row r="955">
      <c r="F955" s="6"/>
      <c r="G955" s="6"/>
    </row>
    <row r="956">
      <c r="F956" s="6"/>
      <c r="G956" s="6"/>
    </row>
    <row r="957">
      <c r="F957" s="6"/>
      <c r="G957" s="6"/>
    </row>
    <row r="958">
      <c r="F958" s="6"/>
      <c r="G958" s="6"/>
    </row>
    <row r="959">
      <c r="F959" s="6"/>
      <c r="G959" s="6"/>
    </row>
    <row r="960">
      <c r="F960" s="6"/>
      <c r="G960" s="6"/>
    </row>
    <row r="961">
      <c r="F961" s="6"/>
      <c r="G961" s="6"/>
    </row>
    <row r="962">
      <c r="F962" s="6"/>
      <c r="G962" s="6"/>
    </row>
    <row r="963">
      <c r="F963" s="6"/>
      <c r="G963" s="6"/>
    </row>
    <row r="964">
      <c r="F964" s="6"/>
      <c r="G964" s="6"/>
    </row>
    <row r="965">
      <c r="F965" s="6"/>
      <c r="G965" s="6"/>
    </row>
    <row r="966">
      <c r="F966" s="6"/>
      <c r="G966" s="6"/>
    </row>
    <row r="967">
      <c r="F967" s="6"/>
      <c r="G967" s="6"/>
    </row>
    <row r="968">
      <c r="F968" s="6"/>
      <c r="G968" s="6"/>
    </row>
    <row r="969">
      <c r="F969" s="6"/>
      <c r="G969" s="6"/>
    </row>
    <row r="970">
      <c r="F970" s="6"/>
      <c r="G970" s="6"/>
    </row>
    <row r="971">
      <c r="F971" s="6"/>
      <c r="G971" s="6"/>
    </row>
    <row r="972">
      <c r="F972" s="6"/>
      <c r="G972" s="6"/>
    </row>
    <row r="973">
      <c r="F973" s="6"/>
      <c r="G973" s="6"/>
    </row>
    <row r="974">
      <c r="F974" s="6"/>
      <c r="G974" s="6"/>
    </row>
    <row r="975">
      <c r="F975" s="6"/>
      <c r="G975" s="6"/>
    </row>
    <row r="976">
      <c r="F976" s="6"/>
      <c r="G976" s="6"/>
    </row>
    <row r="977">
      <c r="F977" s="6"/>
      <c r="G977" s="6"/>
    </row>
    <row r="978">
      <c r="F978" s="6"/>
      <c r="G978" s="6"/>
    </row>
    <row r="979">
      <c r="F979" s="6"/>
      <c r="G979" s="6"/>
    </row>
    <row r="980">
      <c r="F980" s="6"/>
      <c r="G980" s="6"/>
    </row>
    <row r="981">
      <c r="F981" s="6"/>
      <c r="G981" s="6"/>
    </row>
    <row r="982">
      <c r="F982" s="6"/>
      <c r="G982" s="6"/>
    </row>
    <row r="983">
      <c r="F983" s="6"/>
      <c r="G983" s="6"/>
    </row>
    <row r="984">
      <c r="F984" s="6"/>
      <c r="G984" s="6"/>
    </row>
    <row r="985">
      <c r="F985" s="6"/>
      <c r="G985" s="6"/>
    </row>
    <row r="986">
      <c r="F986" s="6"/>
      <c r="G986" s="6"/>
    </row>
    <row r="987">
      <c r="F987" s="6"/>
      <c r="G987" s="6"/>
    </row>
    <row r="988">
      <c r="F988" s="6"/>
      <c r="G988" s="6"/>
    </row>
    <row r="989">
      <c r="F989" s="6"/>
      <c r="G989" s="6"/>
    </row>
    <row r="990">
      <c r="F990" s="6"/>
      <c r="G990" s="6"/>
    </row>
    <row r="991">
      <c r="F991" s="6"/>
      <c r="G991" s="6"/>
    </row>
    <row r="992">
      <c r="F992" s="6"/>
      <c r="G992" s="6"/>
    </row>
    <row r="993">
      <c r="F993" s="6"/>
      <c r="G993" s="6"/>
    </row>
    <row r="994">
      <c r="F994" s="6"/>
      <c r="G994" s="6"/>
    </row>
    <row r="995">
      <c r="F995" s="6"/>
      <c r="G995" s="6"/>
    </row>
    <row r="996">
      <c r="F996" s="6"/>
      <c r="G996" s="6"/>
    </row>
    <row r="997">
      <c r="F997" s="6"/>
      <c r="G997" s="6"/>
    </row>
    <row r="998">
      <c r="F998" s="6"/>
      <c r="G998" s="6"/>
    </row>
    <row r="999">
      <c r="F999" s="6"/>
      <c r="G999" s="6"/>
    </row>
    <row r="1000">
      <c r="F1000" s="6"/>
      <c r="G1000" s="6"/>
    </row>
  </sheetData>
  <autoFilter ref="$A$1:$N$125">
    <filterColumn colId="1">
      <filters>
        <filter val="Republic of the Marshall Islands Joint National Action Plan for Climate Change Adaptation &amp; Disaster Risk Management 2014 - 2018"/>
        <filter val="ХУУЛЬ ОЙН ГАМШГААС ХАМГААЛАХ ТУХАЙ"/>
        <filter val="NATIONAL ENERGY AND CLIMATE ACTION PLAN OF THE REPUBLIC OF LITHUANIA FOR 2021-2030"/>
        <filter val="Latvijas Stratēģiskās attīstības plāns 2010.–2013.gadam"/>
        <filter val="Loi du 23 décembre 2016 relative à un régime d'aides à des prêts climatiques"/>
        <filter val="Law on Energy"/>
        <filter val="CLIMATE CHANGE ADAPTATION PROGRAMME AND ACTION PLAN FOR 2015-2017 FOR THE FOREST AND BIODIVERSITY SECTOR"/>
        <filter val="State Policy on Energy 2015-2030"/>
        <filter val="Latvijas stratēģija klimatneitralitātes sasniegšanai līdz 2050. gadam"/>
        <filter val="ANNEX to the Council Implementing Decision on the approval of the assessment of the recovery and resilience plan for Malta"/>
        <filter val="Положение о Государственном комитете по экологии и климату"/>
        <filter val="Law on Forests"/>
        <filter val="Factsheet: Luxembourg’s recovery and resilience plan"/>
        <filter val="Loi n° 39-16 portant modification de la loi n' 16-09 relathre aI'Agence nationale pour Ie developpement des energies renouvelables et de l'efficacite energetique"/>
        <filter val="ENVIRONMENTAL MANAGEMENT AND CLIMATE CHANGE ACT 2020"/>
        <filter val="ELECTRICITY SUPPLY ACT 1990"/>
        <filter val="LEY GENERAL DE CAMBIO CLIMÁTICO"/>
        <filter val="DECRETO por el que se reforman y adicionan diversas disposiciones de la Constitución Política de los Estados Unidos Mexicanos, en Materia de Energía"/>
        <filter val="PERINTAH TENAGA BOLEH BAHARU (PINDAAN JADUAL) (NO. 2) 2015"/>
        <filter val="Loi modifiant et complétant la loi no 13-09 relative aux énergies renouvelables"/>
        <filter val="Law on Disaster Protection"/>
        <filter val="Loi n° 1.456 du 12 décembre 2017 portant Code de l’environnement"/>
        <filter val="General Law on Climate Change"/>
        <filter val="Loi du 15 décembre 2017 concernant le budget des recettes et des dépenses de l’État pour l’exercice 2018 et modifiant"/>
        <filter val="Reforma Energética"/>
        <filter val="Loi du 29 mars 2016 modifiant la loi du 13 septembre 2012 portant création d'un pacte climat avec les communes."/>
        <filter val="Loi relative aux énergies renouvelables"/>
        <filter val="Loi du 19 juin 2015 modifiant la loi modifiée du 1er août 2007 relative à l’organisation du marché du gaz naturel."/>
        <filter val="NAMIBIA RENEWABLE ENERGY FEED-IN TARIFF (REFIT) PROGRAMME Portal"/>
        <filter val="LEGE privind promovarea utilizării energiei din surse regenerabile"/>
        <filter val="The Forests Act, 2019"/>
        <filter val="National &amp; State Energy Action Plans"/>
        <filter val="Environmental Management and Climate Change (Ban on Single Use Plastic Shopping Bags) Regulations 2021"/>
        <filter val="ЗАКОН Об энергетической эффективности зданий"/>
        <filter val="ANEXO de la Decisión de Ejecución del Consejo relativa a la aprobación de la  evaluación del plan de recuperación y resiliencia de Luxemburgo"/>
        <filter val="ACUERDO por el que la Secretaría de Energía aprueba y publica la actualización de la Estrategia de Transición para Promover el Uso de Tecnologías y Combustibles más Limpios, en términos de la Ley de Transición Energética."/>
        <filter val="Luxembourg’s recovery and resilience plan"/>
        <filter val="Recovery and Resilience Facility"/>
        <filter val="LATVIA’S NATIONAL ENERGY AND CLIMATE PLAN 2021–2030"/>
        <filter val="NUTARIMAS DĖL NACIONALINĖS KLIMATO KAITOS VALDYMO POLITIKOS STRATEGIJOS PATVIRTINIMO"/>
        <filter val="PRO-POOR AGENDA FOR PROSPERITY AND DEVELOPMENT"/>
        <filter val="Renewable Energy Act 2011"/>
        <filter val="Lithuania’s recovery and resilience plan"/>
        <filter val="Law on promoting the use of energy from renewable sources"/>
        <filter val="ПОСТАНОВЛЕНИЕ Об одобрении проекта Программы по переходу Кыргызской Республики к устойчивому развитию на 2013-2017 годы "/>
        <filter val="NATIONAL SUSTAINABLE DEVELOPMENT STRATEGY FOR THE KYRGYZ REPUBLIC"/>
        <filter val="Budget Speech 2019-2020"/>
        <filter val="Loi n° 1.456 du 12 décembre 2017 portant Code de l'environnement."/>
        <filter val="Draft decree establishing the Strategic Committee for Sustainable Development"/>
        <filter val="ПОСТАНОВЛЕНИЕ Об утверждении Стратегии устойчивого развития промышленности Кыргызской Республики на 2019-2023 годы"/>
        <filter val="Malta’s recovery and resilience"/>
        <filter val="DECRETO por el que se reforman y adicionan diversas disposiciones de la Ley General de Cambio Climático."/>
        <filter val="Plan pour la Reprise et la Résilience"/>
        <filter val="Decree No. 2.19.452 organized by the National Committee for Sustainable Development"/>
        <filter val="Latvia's recovery and resilience plan"/>
        <filter val="DECRETO por el que se expiden la Ley de la Industria Eléctrica, la Ley de Energía Geotérmica y se adicionan y reforman diversas disposiciones de la Ley de Aguas Nacionales"/>
        <filter val="НАЦИОНАЛЬНАЯ СТРАТЕГИЯ УСТОЙЧИВОГО РАЗВИТИЯ КЫРГЫЗСКОЙ РЕСПУБЛИКИ"/>
        <filter val="Estrategia de Transición para Promover el Uso de Tecnologías y Combustibles Más Limpios"/>
        <filter val="RECUEIL DE LEGISLATION:  PAQUET BANQUE CLIMATIQUE ET LOGEMENT DURABLE"/>
        <filter val="Loi du 15 décembre 2017 concernant le budget des recettes et des dépenses de l’État pour l’exercice 2018"/>
        <filter val="Malta’s Recovery &amp; Resilience Plan"/>
        <filter val="Strategy for Sustainable Industrial Development of the Kyrgyz Republic 2019-2023"/>
        <filter val="Recueil de legislation: STOCKAGE GÉOLOGIQUE DU DIOXYDE DE CARBONE"/>
        <filter val="Forest Act"/>
        <filter val="The National Renewable Energy Action Plan for the Republic of Lebanon 2016-2020"/>
        <filter val="THREE YEAR STRATEGIC PLAN 2018/19 - 2020/21"/>
        <filter val="Nauru Energy Roadmap 2018-2020"/>
        <filter val="Постановление Кабинета Министров Кыргызской Республики от 19 мая 2021 года № 11 О вопросах Государственного комитета по экологии и климату Кыргызской Республики"/>
        <filter val="LIETUVOS RESPUBLIKOS NACIONALINIS ENERGETIKOS IR KLIMATO SRITIES VEIKSMŲ PLANAS 2021-2030 m."/>
        <filter val="RESOLUTION ON ADOPTION OF STATE POLICY ON ENERGY"/>
        <filter val="Loi du 29 mars 2016 modifiant la loi du 13 septembre 2012 portant création d’un pacte climat avec les communes"/>
        <filter val="ENVIRONMENTAL MANAGEMENT AND CLIMATE CHANGE (NOTICES) REGULATIONS 2021"/>
        <filter val="ПРОГРАММА И ПЛАН ДЕЙСТВИЙ ПО АДАПТАЦИИ К ИЗМЕНЕНИЮ КЛИМАТА СЕКТОРА «ЛЕС И БИОРАЗНООБРАЗИЕ» НА 2015-2017 гг."/>
        <filter val="DECRETO por el que se expiden la Ley de la Industria Eléctrica, la Ley de Energía Geotérmica y se adicionan y reforman diversas disposiciones de la Ley de Aguas Nacionales."/>
        <filter val="LIBERIA NATIONAL VISION 2030"/>
        <filter val="Law on the Energy Efficiency of Buildings"/>
        <filter val="COUNCIL IMPLEMENTING DECISION on the approval of the assessment of the recovery and resilience plan for Malta"/>
        <filter val="ХУУЛЬ ОЙН СЭРГЭЭГДЭХ ЭРЧИМ ХҮЧНИЙ ТУХАЙ"/>
        <filter val="FINANCE (MISCELLANEOUS PROVISIONS) ACT 2021"/>
        <filter val="2012 Energy Policy"/>
        <filter val="Recueil de legislation: Loi du 19 juin 2015 modifiant la loi modifiée du 1 er août 2007 relative à l’organisation du marché du gaz naturel"/>
        <filter val="Nauru Energy Road Map 2014 – 2020 - An Implementation Plan for Energy Sector Development"/>
        <filter val="Lebanon National Forest Program"/>
        <filter val="Law on Renewable Energy"/>
        <filter val="Эрчим хүчний тухай хууль"/>
        <filter val="Recovery and resilience plan for Latvia - EU Decisions"/>
        <filter val="Présentation de la première partie &quot;Clever Wunnen&quot; du paquet &quot;Gréng  Relance fir Lëtzebuerg – E Plus fir d'Klima, d'Handwierk an d'Bierger&quot;"/>
        <filter val="LUXEMBOURG’S INTEGRATED NATIONAL ENERGY AND CLIMATE PLAN FOR 2021-2030"/>
        <filter val="Loi du 27 août 2012 a) relative au stockage géologique du dioxyde de carbone  b) modifiant la loi modifiée du 19 décembre 2008 relative à l'eau  c) modifiant la loi du 20 avril 2009 relative à la responsabilité environnementale."/>
        <filter val="Par informatīvo ziņojumu “Latvijas stratēģija klimatneitralitātes sasniegšanai līdz 2050. gadam”"/>
        <filter val="Lithuania’s recovery and resilience plan - additional documents"/>
        <filter val="ELECTRICITY SUPPLY (AMENDMENT) ACT 2015"/>
        <filter val="Loi du 13 septembre 2012 portant  1. création d'un pacte climat avec les communes  2. modification de la loi modifiée du 31 mai 1999 portant institution d'un fonds pour la protection de l'environnement."/>
        <filter val="RENEWABLE ENERGY FEED-IN TARIFF RULES"/>
        <filter val="RESOLUTION APPROVING THE NATIONAL STRATEGY FOR CLIMATE CHANGE MANAGEMENT POLICY"/>
        <filter val="LATVIJAS NACIONĀLAIS ENERĢĒTIKAS UN KLIMATA PLĀNS 2021. – 2030. GADAM"/>
        <filter val="EIROPAS KOMISIJAS DOKUMENTI"/>
        <filter val="Loi elative à l’Agence nationale pour le développement des énergies renouvelables et de l’efficacité énergétique"/>
        <filter val="ПОСТАНОВЛЕНИЕ О вопросах Государственного комитета по экологии и климату Кыргызской Республики"/>
        <filter val="Factsheet: Lithuania’s recovery and resilience plan"/>
        <filter val="Budget Speech 2021-2022"/>
        <filter val="EKONOMIKOS GAIVINIMO IR ATSPARUMO DIDINIMO PLANAS „NAUJOS KARTOS LIETUVA“"/>
        <filter val="PLAN NATIONAL INTÉGRÉ EN MATIÈRE D’ÉNERGIE ET DE CLIMAT DU LUXEMBOURG POUR LA PÉRIODE 2021-2030"/>
        <filter val="Amendment to the Forest Act"/>
        <filter val="Climate Change Policy Framework"/>
        <filter val="МОНГОЛ УЛСЫН ХУУЛЬ ОЙН ТУХАЙ /Шинэчилсэн найруулга/"/>
        <filter val="Factsheet: Latvia’s recovery and resilience plan"/>
        <filter val="LAYING THE FOUNDATIONS FOR RECOVERY: MALTA"/>
        <filter val="ПРОГРАММА по переходу Кыргызской Республики к устойчивому развитию на 2013-2017 годы"/>
        <filter val="EIROPAS SAVIENĪBAS ATVESEĻOŠANAS UN NOTURĪBAS MEHĀNISMA PLĀNS LATVIJA 2021-2026"/>
        <filter val="Latvijas Nacionālais attīstības plāns 2014. – 2020. gadam"/>
        <filter val="Update on the Current Power Supply Situation and Progress Made on NamPower Projects and Initiatives to Ensure Security of Supply in Namibia"/>
        <filter val="INTEGRIERTER NATIONALER ENERGIE- UND KLIMAPLAN LUXEMBURGS FÜR DEN ZEITRAUM 2021-2030"/>
        <filter val="Recovery and resilience plan for Luxembourg"/>
        <filter val="Nouvelle prime vélos: coup d’accélérateur exceptionnel pour la mobilité douce"/>
      </filters>
    </filterColumn>
  </autoFilter>
  <dataValidations>
    <dataValidation type="list" allowBlank="1" sqref="F126:F1000">
      <formula1>'Document Type Values'!$A$1:$A$30</formula1>
    </dataValidation>
    <dataValidation type="list" allowBlank="1" sqref="F2:G125 G126:G1000">
      <formula1>'_document type values'!$A:$A</formula1>
    </dataValidation>
  </dataValidations>
  <hyperlinks>
    <hyperlink r:id="rId1" ref="K2"/>
    <hyperlink r:id="rId2" ref="K3"/>
    <hyperlink r:id="rId3" ref="K4"/>
    <hyperlink r:id="rId4" ref="K5"/>
    <hyperlink r:id="rId5" ref="K6"/>
    <hyperlink r:id="rId6" ref="K7"/>
    <hyperlink r:id="rId7" ref="K8"/>
    <hyperlink r:id="rId8" ref="K9"/>
    <hyperlink r:id="rId9" ref="J10"/>
    <hyperlink r:id="rId10" ref="K10"/>
    <hyperlink r:id="rId11" ref="K11"/>
    <hyperlink r:id="rId12" ref="K12"/>
    <hyperlink r:id="rId13" ref="K13"/>
    <hyperlink r:id="rId14" ref="J14"/>
    <hyperlink r:id="rId15" ref="K14"/>
    <hyperlink r:id="rId16" ref="K15"/>
    <hyperlink r:id="rId17" ref="K16"/>
    <hyperlink r:id="rId18" ref="K17"/>
    <hyperlink r:id="rId19" ref="K18"/>
    <hyperlink r:id="rId20" ref="K19"/>
    <hyperlink r:id="rId21" ref="K20"/>
    <hyperlink r:id="rId22" ref="J21"/>
    <hyperlink r:id="rId23" ref="K21"/>
    <hyperlink r:id="rId24" ref="K22"/>
    <hyperlink r:id="rId25" ref="K23"/>
    <hyperlink r:id="rId26" ref="K24"/>
    <hyperlink r:id="rId27" ref="J25"/>
    <hyperlink r:id="rId28" ref="K25"/>
    <hyperlink r:id="rId29" ref="K26"/>
    <hyperlink r:id="rId30" ref="K27"/>
    <hyperlink r:id="rId31" ref="K28"/>
    <hyperlink r:id="rId32" ref="K29"/>
    <hyperlink r:id="rId33" ref="K30"/>
    <hyperlink r:id="rId34" ref="K31"/>
    <hyperlink r:id="rId35" ref="K32"/>
    <hyperlink r:id="rId36" ref="K33"/>
    <hyperlink r:id="rId37" ref="K34"/>
    <hyperlink r:id="rId38" ref="K35"/>
    <hyperlink r:id="rId39" ref="K36"/>
    <hyperlink r:id="rId40" ref="K37"/>
    <hyperlink r:id="rId41" ref="K38"/>
    <hyperlink r:id="rId42" ref="K39"/>
    <hyperlink r:id="rId43" ref="J40"/>
    <hyperlink r:id="rId44" ref="K40"/>
    <hyperlink r:id="rId45" ref="K41"/>
    <hyperlink r:id="rId46" ref="K42"/>
    <hyperlink r:id="rId47" ref="K43"/>
    <hyperlink r:id="rId48" ref="K44"/>
    <hyperlink r:id="rId49" ref="K45"/>
    <hyperlink r:id="rId50" ref="K46"/>
    <hyperlink r:id="rId51" ref="K47"/>
    <hyperlink r:id="rId52" ref="K48"/>
    <hyperlink r:id="rId53" ref="K49"/>
    <hyperlink r:id="rId54" ref="K50"/>
    <hyperlink r:id="rId55" ref="K51"/>
    <hyperlink r:id="rId56" ref="K52"/>
    <hyperlink r:id="rId57" ref="K53"/>
    <hyperlink r:id="rId58" ref="K54"/>
    <hyperlink r:id="rId59" ref="K55"/>
    <hyperlink r:id="rId60" ref="K56"/>
    <hyperlink r:id="rId61" ref="K57"/>
    <hyperlink r:id="rId62" ref="K58"/>
    <hyperlink r:id="rId63" ref="K59"/>
    <hyperlink r:id="rId64" ref="K60"/>
    <hyperlink r:id="rId65" ref="J61"/>
    <hyperlink r:id="rId66" ref="K61"/>
    <hyperlink r:id="rId67" ref="K62"/>
    <hyperlink r:id="rId68" ref="K63"/>
    <hyperlink r:id="rId69" ref="K64"/>
    <hyperlink r:id="rId70" ref="K65"/>
    <hyperlink r:id="rId71" ref="K66"/>
    <hyperlink r:id="rId72" ref="K67"/>
    <hyperlink r:id="rId73" ref="K68"/>
    <hyperlink r:id="rId74" ref="K69"/>
    <hyperlink r:id="rId75" ref="K70"/>
    <hyperlink r:id="rId76" ref="J71"/>
    <hyperlink r:id="rId77" ref="K71"/>
    <hyperlink r:id="rId78" ref="J72"/>
    <hyperlink r:id="rId79" ref="K72"/>
    <hyperlink r:id="rId80" ref="K73"/>
    <hyperlink r:id="rId81" ref="K74"/>
    <hyperlink r:id="rId82" ref="K75"/>
    <hyperlink r:id="rId83" ref="K76"/>
    <hyperlink r:id="rId84" ref="K77"/>
    <hyperlink r:id="rId85" ref="K78"/>
    <hyperlink r:id="rId86" ref="K79"/>
    <hyperlink r:id="rId87" ref="K80"/>
    <hyperlink r:id="rId88" ref="K81"/>
    <hyperlink r:id="rId89" ref="K82"/>
    <hyperlink r:id="rId90" ref="K83"/>
    <hyperlink r:id="rId91" ref="K84"/>
    <hyperlink r:id="rId92" ref="K85"/>
    <hyperlink r:id="rId93" ref="K86"/>
    <hyperlink r:id="rId94" ref="K87"/>
    <hyperlink r:id="rId95" ref="K88"/>
    <hyperlink r:id="rId96" ref="J89"/>
    <hyperlink r:id="rId97" ref="K89"/>
    <hyperlink r:id="rId98" ref="K90"/>
    <hyperlink r:id="rId99" ref="K91"/>
    <hyperlink r:id="rId100" ref="K92"/>
    <hyperlink r:id="rId101" ref="K93"/>
    <hyperlink r:id="rId102" ref="K94"/>
    <hyperlink r:id="rId103" ref="K95"/>
    <hyperlink r:id="rId104" ref="J96"/>
    <hyperlink r:id="rId105" ref="K96"/>
    <hyperlink r:id="rId106" ref="K97"/>
    <hyperlink r:id="rId107" ref="K98"/>
    <hyperlink r:id="rId108" ref="K99"/>
    <hyperlink r:id="rId109" ref="K100"/>
    <hyperlink r:id="rId110" ref="K101"/>
    <hyperlink r:id="rId111" ref="K102"/>
    <hyperlink r:id="rId112" ref="K103"/>
    <hyperlink r:id="rId113" ref="K104"/>
    <hyperlink r:id="rId114" ref="K105"/>
    <hyperlink r:id="rId115" ref="K106"/>
    <hyperlink r:id="rId116" ref="K107"/>
    <hyperlink r:id="rId117" ref="K108"/>
    <hyperlink r:id="rId118" ref="K109"/>
    <hyperlink r:id="rId119" ref="K110"/>
    <hyperlink r:id="rId120" ref="K111"/>
    <hyperlink r:id="rId121" ref="K112"/>
    <hyperlink r:id="rId122" ref="K113"/>
    <hyperlink r:id="rId123" ref="K114"/>
    <hyperlink r:id="rId124" ref="K115"/>
    <hyperlink r:id="rId125" ref="K116"/>
    <hyperlink r:id="rId126" ref="K117"/>
    <hyperlink r:id="rId127" ref="K118"/>
    <hyperlink r:id="rId128" ref="K119"/>
    <hyperlink r:id="rId129" ref="K120"/>
    <hyperlink r:id="rId130" ref="K121"/>
    <hyperlink r:id="rId131" ref="K122"/>
    <hyperlink r:id="rId132" ref="K123"/>
    <hyperlink r:id="rId133" ref="K124"/>
    <hyperlink r:id="rId134" ref="K125"/>
  </hyperlinks>
  <drawing r:id="rId13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74.0"/>
    <col customWidth="1" min="9" max="9" width="20.13"/>
    <col customWidth="1" min="13" max="13" width="54.63"/>
    <col customWidth="1" min="14" max="14" width="13.88"/>
    <col customWidth="1" min="15" max="15" width="15.88"/>
    <col customWidth="1" min="16" max="16" width="670.13"/>
    <col customWidth="1" min="17" max="17" width="81.5"/>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26" t="s">
        <v>8</v>
      </c>
      <c r="P1" s="26" t="s">
        <v>9</v>
      </c>
      <c r="Q1" s="157" t="s">
        <v>2356</v>
      </c>
      <c r="R1" s="27"/>
      <c r="S1" s="27"/>
      <c r="T1" s="27"/>
      <c r="U1" s="27"/>
      <c r="V1" s="27"/>
      <c r="W1" s="27"/>
      <c r="X1" s="27"/>
      <c r="Y1" s="27"/>
      <c r="Z1" s="27"/>
      <c r="AA1" s="27"/>
      <c r="AB1" s="27"/>
    </row>
    <row r="2">
      <c r="A2" s="28">
        <v>4242.0</v>
      </c>
      <c r="B2" s="29" t="s">
        <v>2357</v>
      </c>
      <c r="C2" s="29" t="s">
        <v>432</v>
      </c>
      <c r="D2" s="29" t="s">
        <v>1941</v>
      </c>
      <c r="E2" s="29" t="s">
        <v>1942</v>
      </c>
      <c r="F2" s="30"/>
      <c r="G2" s="29" t="s">
        <v>2358</v>
      </c>
      <c r="H2" s="29" t="s">
        <v>434</v>
      </c>
      <c r="I2" s="29" t="s">
        <v>144</v>
      </c>
      <c r="J2" s="30"/>
      <c r="K2" s="29" t="s">
        <v>1141</v>
      </c>
      <c r="L2" s="29" t="s">
        <v>2359</v>
      </c>
      <c r="M2" s="29" t="s">
        <v>2360</v>
      </c>
      <c r="N2" s="29">
        <v>2013.0</v>
      </c>
      <c r="O2" s="29" t="s">
        <v>24</v>
      </c>
      <c r="P2" s="29" t="s">
        <v>2361</v>
      </c>
      <c r="Q2" s="158" t="s">
        <v>2357</v>
      </c>
    </row>
    <row r="3">
      <c r="A3" s="28">
        <v>4242.0</v>
      </c>
      <c r="B3" s="29" t="s">
        <v>1946</v>
      </c>
      <c r="C3" s="29" t="s">
        <v>432</v>
      </c>
      <c r="D3" s="29" t="s">
        <v>1941</v>
      </c>
      <c r="E3" s="29" t="s">
        <v>1942</v>
      </c>
      <c r="F3" s="30"/>
      <c r="G3" s="29"/>
      <c r="H3" s="29"/>
      <c r="I3" s="29" t="s">
        <v>144</v>
      </c>
      <c r="J3" s="30"/>
      <c r="K3" s="29"/>
      <c r="L3" s="29"/>
      <c r="M3" s="29"/>
      <c r="N3" s="29">
        <v>2013.0</v>
      </c>
      <c r="O3" s="29" t="s">
        <v>347</v>
      </c>
      <c r="P3" s="159" t="s">
        <v>2362</v>
      </c>
      <c r="Q3" s="158" t="s">
        <v>2357</v>
      </c>
    </row>
    <row r="4">
      <c r="A4" s="28">
        <v>4243.0</v>
      </c>
      <c r="B4" s="29" t="s">
        <v>2363</v>
      </c>
      <c r="C4" s="29" t="s">
        <v>432</v>
      </c>
      <c r="D4" s="29" t="s">
        <v>1941</v>
      </c>
      <c r="E4" s="29" t="s">
        <v>1942</v>
      </c>
      <c r="F4" s="30"/>
      <c r="G4" s="29" t="s">
        <v>450</v>
      </c>
      <c r="H4" s="29" t="s">
        <v>482</v>
      </c>
      <c r="I4" s="29" t="s">
        <v>234</v>
      </c>
      <c r="J4" s="30"/>
      <c r="K4" s="29" t="s">
        <v>2364</v>
      </c>
      <c r="L4" s="29" t="s">
        <v>2365</v>
      </c>
      <c r="M4" s="29" t="s">
        <v>2366</v>
      </c>
      <c r="N4" s="29">
        <v>2015.0</v>
      </c>
      <c r="O4" s="29" t="s">
        <v>24</v>
      </c>
      <c r="P4" s="29" t="s">
        <v>2367</v>
      </c>
      <c r="Q4" s="29" t="s">
        <v>2363</v>
      </c>
    </row>
    <row r="5">
      <c r="A5" s="28">
        <v>4243.0</v>
      </c>
      <c r="B5" s="29" t="s">
        <v>1952</v>
      </c>
      <c r="C5" s="29" t="s">
        <v>432</v>
      </c>
      <c r="D5" s="29" t="s">
        <v>1941</v>
      </c>
      <c r="E5" s="29" t="s">
        <v>1942</v>
      </c>
      <c r="F5" s="30"/>
      <c r="G5" s="29"/>
      <c r="H5" s="29"/>
      <c r="I5" s="29" t="s">
        <v>234</v>
      </c>
      <c r="J5" s="30"/>
      <c r="K5" s="29"/>
      <c r="L5" s="29"/>
      <c r="M5" s="29"/>
      <c r="N5" s="29">
        <v>2015.0</v>
      </c>
      <c r="O5" s="29" t="s">
        <v>347</v>
      </c>
      <c r="P5" s="127" t="s">
        <v>2368</v>
      </c>
      <c r="Q5" s="29" t="s">
        <v>2363</v>
      </c>
    </row>
    <row r="6">
      <c r="A6" s="28">
        <v>4963.0</v>
      </c>
      <c r="B6" s="29" t="s">
        <v>2369</v>
      </c>
      <c r="C6" s="29" t="s">
        <v>449</v>
      </c>
      <c r="D6" s="29" t="s">
        <v>1941</v>
      </c>
      <c r="E6" s="29" t="s">
        <v>1942</v>
      </c>
      <c r="F6" s="30"/>
      <c r="G6" s="29" t="s">
        <v>441</v>
      </c>
      <c r="H6" s="29" t="s">
        <v>2370</v>
      </c>
      <c r="I6" s="29" t="s">
        <v>41</v>
      </c>
      <c r="J6" s="30"/>
      <c r="K6" s="29" t="s">
        <v>493</v>
      </c>
      <c r="L6" s="29" t="s">
        <v>538</v>
      </c>
      <c r="M6" s="29" t="s">
        <v>2371</v>
      </c>
      <c r="N6" s="29"/>
      <c r="O6" s="29"/>
      <c r="P6" s="29" t="s">
        <v>2372</v>
      </c>
    </row>
    <row r="7">
      <c r="A7" s="28">
        <v>10007.0</v>
      </c>
      <c r="B7" s="29" t="s">
        <v>2373</v>
      </c>
      <c r="C7" s="29" t="s">
        <v>432</v>
      </c>
      <c r="D7" s="29" t="s">
        <v>1941</v>
      </c>
      <c r="E7" s="29" t="s">
        <v>1942</v>
      </c>
      <c r="F7" s="30"/>
      <c r="G7" s="29" t="s">
        <v>433</v>
      </c>
      <c r="H7" s="29" t="s">
        <v>434</v>
      </c>
      <c r="I7" s="29" t="s">
        <v>2374</v>
      </c>
      <c r="J7" s="30"/>
      <c r="K7" s="30"/>
      <c r="L7" s="29" t="s">
        <v>511</v>
      </c>
      <c r="M7" s="29" t="s">
        <v>2375</v>
      </c>
      <c r="N7" s="29"/>
      <c r="O7" s="29"/>
      <c r="P7" s="29" t="s">
        <v>2376</v>
      </c>
    </row>
    <row r="8">
      <c r="A8" s="28">
        <v>10371.0</v>
      </c>
      <c r="B8" s="29" t="s">
        <v>2377</v>
      </c>
      <c r="C8" s="29" t="s">
        <v>432</v>
      </c>
      <c r="D8" s="29" t="s">
        <v>1941</v>
      </c>
      <c r="E8" s="29" t="s">
        <v>1942</v>
      </c>
      <c r="F8" s="30"/>
      <c r="G8" s="29" t="s">
        <v>441</v>
      </c>
      <c r="H8" s="29" t="s">
        <v>2378</v>
      </c>
      <c r="I8" s="29" t="s">
        <v>18</v>
      </c>
      <c r="J8" s="29" t="s">
        <v>2379</v>
      </c>
      <c r="K8" s="29" t="s">
        <v>2380</v>
      </c>
      <c r="L8" s="29" t="s">
        <v>2381</v>
      </c>
      <c r="M8" s="29" t="s">
        <v>2382</v>
      </c>
      <c r="N8" s="29"/>
      <c r="O8" s="29"/>
      <c r="P8" s="29" t="s">
        <v>2383</v>
      </c>
    </row>
    <row r="9">
      <c r="A9" s="28">
        <v>10372.0</v>
      </c>
      <c r="B9" s="29" t="s">
        <v>2384</v>
      </c>
      <c r="C9" s="29" t="s">
        <v>432</v>
      </c>
      <c r="D9" s="29" t="s">
        <v>1941</v>
      </c>
      <c r="E9" s="29" t="s">
        <v>1942</v>
      </c>
      <c r="F9" s="30"/>
      <c r="G9" s="29" t="s">
        <v>441</v>
      </c>
      <c r="H9" s="29" t="s">
        <v>434</v>
      </c>
      <c r="I9" s="29" t="s">
        <v>1741</v>
      </c>
      <c r="J9" s="30"/>
      <c r="K9" s="29" t="s">
        <v>2385</v>
      </c>
      <c r="L9" s="29" t="s">
        <v>2386</v>
      </c>
      <c r="M9" s="29" t="s">
        <v>2387</v>
      </c>
      <c r="N9" s="29"/>
      <c r="O9" s="29"/>
      <c r="P9" s="29" t="s">
        <v>2388</v>
      </c>
    </row>
    <row r="10">
      <c r="A10" s="28">
        <v>8465.0</v>
      </c>
      <c r="B10" s="29" t="s">
        <v>2389</v>
      </c>
      <c r="C10" s="29" t="s">
        <v>432</v>
      </c>
      <c r="D10" s="29" t="s">
        <v>1987</v>
      </c>
      <c r="E10" s="29" t="s">
        <v>1988</v>
      </c>
      <c r="F10" s="30"/>
      <c r="G10" s="29" t="s">
        <v>441</v>
      </c>
      <c r="H10" s="29" t="s">
        <v>434</v>
      </c>
      <c r="I10" s="29" t="s">
        <v>234</v>
      </c>
      <c r="J10" s="30"/>
      <c r="K10" s="29" t="s">
        <v>493</v>
      </c>
      <c r="L10" s="29" t="s">
        <v>533</v>
      </c>
      <c r="M10" s="29" t="s">
        <v>2390</v>
      </c>
      <c r="N10" s="29"/>
      <c r="O10" s="29"/>
      <c r="P10" s="29" t="s">
        <v>2391</v>
      </c>
    </row>
    <row r="11">
      <c r="A11" s="28">
        <v>9426.0</v>
      </c>
      <c r="B11" s="29" t="s">
        <v>2392</v>
      </c>
      <c r="C11" s="29" t="s">
        <v>432</v>
      </c>
      <c r="D11" s="29" t="s">
        <v>1987</v>
      </c>
      <c r="E11" s="29" t="s">
        <v>1988</v>
      </c>
      <c r="F11" s="30"/>
      <c r="G11" s="29" t="s">
        <v>441</v>
      </c>
      <c r="H11" s="29" t="s">
        <v>2393</v>
      </c>
      <c r="I11" s="29" t="s">
        <v>144</v>
      </c>
      <c r="J11" s="30"/>
      <c r="K11" s="29" t="s">
        <v>2394</v>
      </c>
      <c r="L11" s="29" t="s">
        <v>2395</v>
      </c>
      <c r="M11" s="29" t="s">
        <v>2396</v>
      </c>
      <c r="N11" s="29"/>
      <c r="O11" s="29"/>
      <c r="P11" s="29" t="s">
        <v>2397</v>
      </c>
    </row>
    <row r="12">
      <c r="A12" s="28">
        <v>9507.0</v>
      </c>
      <c r="B12" s="29" t="s">
        <v>2398</v>
      </c>
      <c r="C12" s="29" t="s">
        <v>432</v>
      </c>
      <c r="D12" s="29" t="s">
        <v>1987</v>
      </c>
      <c r="E12" s="29" t="s">
        <v>1988</v>
      </c>
      <c r="F12" s="30"/>
      <c r="G12" s="29" t="s">
        <v>433</v>
      </c>
      <c r="H12" s="29" t="s">
        <v>2399</v>
      </c>
      <c r="I12" s="29" t="s">
        <v>234</v>
      </c>
      <c r="J12" s="29" t="s">
        <v>2400</v>
      </c>
      <c r="K12" s="29" t="s">
        <v>2401</v>
      </c>
      <c r="L12" s="29" t="s">
        <v>2402</v>
      </c>
      <c r="M12" s="29" t="s">
        <v>2403</v>
      </c>
      <c r="N12" s="29"/>
      <c r="O12" s="29"/>
      <c r="P12" s="29" t="s">
        <v>2404</v>
      </c>
    </row>
    <row r="13">
      <c r="A13" s="28">
        <v>10503.0</v>
      </c>
      <c r="B13" s="29" t="s">
        <v>2009</v>
      </c>
      <c r="C13" s="29" t="s">
        <v>432</v>
      </c>
      <c r="D13" s="29" t="s">
        <v>1987</v>
      </c>
      <c r="E13" s="29" t="s">
        <v>1988</v>
      </c>
      <c r="F13" s="30"/>
      <c r="G13" s="29" t="s">
        <v>441</v>
      </c>
      <c r="H13" s="29" t="s">
        <v>1157</v>
      </c>
      <c r="I13" s="29" t="s">
        <v>234</v>
      </c>
      <c r="J13" s="30"/>
      <c r="K13" s="29" t="s">
        <v>2405</v>
      </c>
      <c r="L13" s="29" t="s">
        <v>1863</v>
      </c>
      <c r="M13" s="29" t="s">
        <v>2406</v>
      </c>
      <c r="N13" s="29"/>
      <c r="O13" s="29"/>
      <c r="P13" s="29" t="s">
        <v>2407</v>
      </c>
    </row>
    <row r="14">
      <c r="A14" s="28">
        <v>8532.0</v>
      </c>
      <c r="B14" s="29" t="s">
        <v>2408</v>
      </c>
      <c r="C14" s="29" t="s">
        <v>432</v>
      </c>
      <c r="D14" s="29" t="s">
        <v>2025</v>
      </c>
      <c r="E14" s="29" t="s">
        <v>2026</v>
      </c>
      <c r="F14" s="30"/>
      <c r="G14" s="29" t="s">
        <v>450</v>
      </c>
      <c r="H14" s="29" t="s">
        <v>434</v>
      </c>
      <c r="I14" s="29" t="s">
        <v>850</v>
      </c>
      <c r="J14" s="30"/>
      <c r="K14" s="29" t="s">
        <v>587</v>
      </c>
      <c r="L14" s="29" t="s">
        <v>1736</v>
      </c>
      <c r="M14" s="29" t="s">
        <v>2409</v>
      </c>
      <c r="N14" s="29"/>
      <c r="O14" s="29"/>
      <c r="P14" s="29" t="s">
        <v>2410</v>
      </c>
    </row>
    <row r="15">
      <c r="A15" s="28">
        <v>8534.0</v>
      </c>
      <c r="B15" s="29" t="s">
        <v>2411</v>
      </c>
      <c r="C15" s="29" t="s">
        <v>432</v>
      </c>
      <c r="D15" s="29" t="s">
        <v>2025</v>
      </c>
      <c r="E15" s="29" t="s">
        <v>2026</v>
      </c>
      <c r="F15" s="30"/>
      <c r="G15" s="29" t="s">
        <v>441</v>
      </c>
      <c r="H15" s="29" t="s">
        <v>526</v>
      </c>
      <c r="I15" s="29" t="s">
        <v>234</v>
      </c>
      <c r="J15" s="30"/>
      <c r="K15" s="29" t="s">
        <v>643</v>
      </c>
      <c r="L15" s="29" t="s">
        <v>2412</v>
      </c>
      <c r="M15" s="29" t="s">
        <v>2413</v>
      </c>
      <c r="N15" s="29"/>
      <c r="O15" s="29"/>
      <c r="P15" s="29" t="s">
        <v>2414</v>
      </c>
    </row>
    <row r="16">
      <c r="A16" s="28">
        <v>10309.0</v>
      </c>
      <c r="B16" s="29" t="s">
        <v>2415</v>
      </c>
      <c r="C16" s="29" t="s">
        <v>432</v>
      </c>
      <c r="D16" s="29" t="s">
        <v>2037</v>
      </c>
      <c r="E16" s="29" t="s">
        <v>2038</v>
      </c>
      <c r="F16" s="30"/>
      <c r="G16" s="29" t="s">
        <v>664</v>
      </c>
      <c r="H16" s="29" t="s">
        <v>2416</v>
      </c>
      <c r="I16" s="29" t="s">
        <v>580</v>
      </c>
      <c r="J16" s="30"/>
      <c r="K16" s="29" t="s">
        <v>2417</v>
      </c>
      <c r="L16" s="29" t="s">
        <v>2418</v>
      </c>
      <c r="M16" s="29" t="s">
        <v>2419</v>
      </c>
      <c r="N16" s="29"/>
      <c r="O16" s="29"/>
      <c r="P16" s="29" t="s">
        <v>2420</v>
      </c>
    </row>
    <row r="17">
      <c r="A17" s="28">
        <v>8470.0</v>
      </c>
      <c r="B17" s="29" t="s">
        <v>2421</v>
      </c>
      <c r="C17" s="29" t="s">
        <v>432</v>
      </c>
      <c r="D17" s="29" t="s">
        <v>2045</v>
      </c>
      <c r="E17" s="29" t="s">
        <v>2046</v>
      </c>
      <c r="F17" s="29" t="s">
        <v>433</v>
      </c>
      <c r="G17" s="29" t="s">
        <v>433</v>
      </c>
      <c r="H17" s="29" t="s">
        <v>634</v>
      </c>
      <c r="I17" s="29" t="s">
        <v>144</v>
      </c>
      <c r="J17" s="30"/>
      <c r="K17" s="29" t="s">
        <v>693</v>
      </c>
      <c r="L17" s="29" t="s">
        <v>2422</v>
      </c>
      <c r="M17" s="29" t="s">
        <v>2423</v>
      </c>
      <c r="N17" s="29"/>
      <c r="O17" s="29"/>
      <c r="P17" s="29" t="s">
        <v>2424</v>
      </c>
    </row>
    <row r="18">
      <c r="A18" s="28">
        <v>9508.0</v>
      </c>
      <c r="B18" s="29" t="s">
        <v>2425</v>
      </c>
      <c r="C18" s="29" t="s">
        <v>432</v>
      </c>
      <c r="D18" s="29" t="s">
        <v>2045</v>
      </c>
      <c r="E18" s="29" t="s">
        <v>2046</v>
      </c>
      <c r="F18" s="30"/>
      <c r="G18" s="29" t="s">
        <v>433</v>
      </c>
      <c r="H18" s="29" t="s">
        <v>2426</v>
      </c>
      <c r="I18" s="29" t="s">
        <v>234</v>
      </c>
      <c r="J18" s="29" t="s">
        <v>2427</v>
      </c>
      <c r="K18" s="29" t="s">
        <v>2428</v>
      </c>
      <c r="L18" s="29" t="s">
        <v>569</v>
      </c>
      <c r="M18" s="29" t="s">
        <v>1830</v>
      </c>
      <c r="N18" s="29"/>
      <c r="O18" s="29"/>
      <c r="P18" s="29" t="s">
        <v>2429</v>
      </c>
    </row>
    <row r="19">
      <c r="A19" s="28">
        <v>10504.0</v>
      </c>
      <c r="B19" s="29" t="s">
        <v>2059</v>
      </c>
      <c r="C19" s="29" t="s">
        <v>432</v>
      </c>
      <c r="D19" s="29" t="s">
        <v>2045</v>
      </c>
      <c r="E19" s="29" t="s">
        <v>2046</v>
      </c>
      <c r="F19" s="30"/>
      <c r="G19" s="29" t="s">
        <v>441</v>
      </c>
      <c r="H19" s="29" t="s">
        <v>1157</v>
      </c>
      <c r="I19" s="29" t="s">
        <v>234</v>
      </c>
      <c r="J19" s="30"/>
      <c r="K19" s="29" t="s">
        <v>2430</v>
      </c>
      <c r="L19" s="29" t="s">
        <v>575</v>
      </c>
      <c r="M19" s="29" t="s">
        <v>2406</v>
      </c>
      <c r="N19" s="29"/>
      <c r="O19" s="29"/>
      <c r="P19" s="29" t="s">
        <v>2431</v>
      </c>
    </row>
    <row r="20">
      <c r="A20" s="28">
        <v>8536.0</v>
      </c>
      <c r="B20" s="29" t="s">
        <v>2432</v>
      </c>
      <c r="C20" s="29" t="s">
        <v>449</v>
      </c>
      <c r="D20" s="29" t="s">
        <v>2073</v>
      </c>
      <c r="E20" s="29" t="s">
        <v>2074</v>
      </c>
      <c r="F20" s="30"/>
      <c r="G20" s="29" t="s">
        <v>441</v>
      </c>
      <c r="H20" s="29" t="s">
        <v>1309</v>
      </c>
      <c r="I20" s="29" t="s">
        <v>41</v>
      </c>
      <c r="J20" s="30"/>
      <c r="K20" s="29" t="s">
        <v>659</v>
      </c>
      <c r="L20" s="29" t="s">
        <v>538</v>
      </c>
      <c r="M20" s="29" t="s">
        <v>2433</v>
      </c>
      <c r="N20" s="29"/>
      <c r="O20" s="29"/>
      <c r="P20" s="29" t="s">
        <v>2434</v>
      </c>
    </row>
    <row r="21">
      <c r="A21" s="28">
        <v>8537.0</v>
      </c>
      <c r="B21" s="29" t="s">
        <v>2435</v>
      </c>
      <c r="C21" s="29" t="s">
        <v>449</v>
      </c>
      <c r="D21" s="29" t="s">
        <v>2073</v>
      </c>
      <c r="E21" s="29" t="s">
        <v>2074</v>
      </c>
      <c r="F21" s="30"/>
      <c r="G21" s="29" t="s">
        <v>441</v>
      </c>
      <c r="H21" s="29" t="s">
        <v>442</v>
      </c>
      <c r="I21" s="29" t="s">
        <v>41</v>
      </c>
      <c r="J21" s="30"/>
      <c r="K21" s="29" t="s">
        <v>547</v>
      </c>
      <c r="L21" s="29" t="s">
        <v>465</v>
      </c>
      <c r="M21" s="29" t="s">
        <v>2436</v>
      </c>
      <c r="N21" s="29"/>
      <c r="O21" s="29"/>
      <c r="P21" s="29" t="s">
        <v>2437</v>
      </c>
    </row>
    <row r="22">
      <c r="A22" s="28">
        <v>8542.0</v>
      </c>
      <c r="B22" s="29" t="s">
        <v>2438</v>
      </c>
      <c r="C22" s="29" t="s">
        <v>449</v>
      </c>
      <c r="D22" s="29" t="s">
        <v>2073</v>
      </c>
      <c r="E22" s="29" t="s">
        <v>2074</v>
      </c>
      <c r="F22" s="30"/>
      <c r="G22" s="29" t="s">
        <v>441</v>
      </c>
      <c r="H22" s="29" t="s">
        <v>434</v>
      </c>
      <c r="I22" s="29" t="s">
        <v>41</v>
      </c>
      <c r="J22" s="30"/>
      <c r="K22" s="29" t="s">
        <v>537</v>
      </c>
      <c r="L22" s="29" t="s">
        <v>489</v>
      </c>
      <c r="M22" s="29" t="s">
        <v>2439</v>
      </c>
      <c r="N22" s="29"/>
      <c r="O22" s="29"/>
      <c r="P22" s="29" t="s">
        <v>2440</v>
      </c>
    </row>
    <row r="23">
      <c r="A23" s="28">
        <v>8543.0</v>
      </c>
      <c r="B23" s="29" t="s">
        <v>2441</v>
      </c>
      <c r="C23" s="29" t="s">
        <v>449</v>
      </c>
      <c r="D23" s="29" t="s">
        <v>2073</v>
      </c>
      <c r="E23" s="29" t="s">
        <v>2074</v>
      </c>
      <c r="F23" s="30"/>
      <c r="G23" s="29" t="s">
        <v>441</v>
      </c>
      <c r="H23" s="29" t="s">
        <v>1265</v>
      </c>
      <c r="I23" s="29" t="s">
        <v>41</v>
      </c>
      <c r="J23" s="30"/>
      <c r="K23" s="29" t="s">
        <v>1241</v>
      </c>
      <c r="L23" s="29" t="s">
        <v>2442</v>
      </c>
      <c r="M23" s="29" t="s">
        <v>2443</v>
      </c>
      <c r="N23" s="29"/>
      <c r="O23" s="29"/>
      <c r="P23" s="29" t="s">
        <v>2444</v>
      </c>
    </row>
    <row r="24">
      <c r="A24" s="28">
        <v>8544.0</v>
      </c>
      <c r="B24" s="29" t="s">
        <v>2445</v>
      </c>
      <c r="C24" s="29" t="s">
        <v>449</v>
      </c>
      <c r="D24" s="29" t="s">
        <v>2073</v>
      </c>
      <c r="E24" s="29" t="s">
        <v>2074</v>
      </c>
      <c r="F24" s="30"/>
      <c r="G24" s="29" t="s">
        <v>441</v>
      </c>
      <c r="H24" s="29" t="s">
        <v>474</v>
      </c>
      <c r="I24" s="29" t="s">
        <v>41</v>
      </c>
      <c r="J24" s="30"/>
      <c r="K24" s="29" t="s">
        <v>2446</v>
      </c>
      <c r="L24" s="29" t="s">
        <v>476</v>
      </c>
      <c r="M24" s="29" t="s">
        <v>2447</v>
      </c>
      <c r="N24" s="29"/>
      <c r="O24" s="29"/>
      <c r="P24" s="29" t="s">
        <v>2448</v>
      </c>
    </row>
    <row r="25">
      <c r="A25" s="28">
        <v>9443.0</v>
      </c>
      <c r="B25" s="29" t="s">
        <v>2449</v>
      </c>
      <c r="C25" s="29" t="s">
        <v>432</v>
      </c>
      <c r="D25" s="29" t="s">
        <v>2073</v>
      </c>
      <c r="E25" s="29" t="s">
        <v>2074</v>
      </c>
      <c r="F25" s="30"/>
      <c r="G25" s="29" t="s">
        <v>441</v>
      </c>
      <c r="H25" s="29" t="s">
        <v>442</v>
      </c>
      <c r="I25" s="29" t="s">
        <v>234</v>
      </c>
      <c r="J25" s="30"/>
      <c r="K25" s="29" t="s">
        <v>2450</v>
      </c>
      <c r="L25" s="29" t="s">
        <v>2451</v>
      </c>
      <c r="M25" s="29" t="s">
        <v>2452</v>
      </c>
      <c r="N25" s="29"/>
      <c r="O25" s="29"/>
      <c r="P25" s="29" t="s">
        <v>2453</v>
      </c>
    </row>
    <row r="26">
      <c r="A26" s="28">
        <v>9509.0</v>
      </c>
      <c r="B26" s="29" t="s">
        <v>2454</v>
      </c>
      <c r="C26" s="29" t="s">
        <v>432</v>
      </c>
      <c r="D26" s="29" t="s">
        <v>2073</v>
      </c>
      <c r="E26" s="29" t="s">
        <v>2074</v>
      </c>
      <c r="F26" s="30"/>
      <c r="G26" s="29" t="s">
        <v>433</v>
      </c>
      <c r="H26" s="29" t="s">
        <v>2455</v>
      </c>
      <c r="I26" s="29" t="s">
        <v>234</v>
      </c>
      <c r="J26" s="29" t="s">
        <v>2456</v>
      </c>
      <c r="K26" s="29" t="s">
        <v>2457</v>
      </c>
      <c r="L26" s="29" t="s">
        <v>2458</v>
      </c>
      <c r="M26" s="29" t="s">
        <v>1830</v>
      </c>
      <c r="N26" s="29"/>
      <c r="O26" s="29"/>
      <c r="P26" s="29" t="s">
        <v>2459</v>
      </c>
    </row>
    <row r="27">
      <c r="A27" s="28">
        <v>10505.0</v>
      </c>
      <c r="B27" s="29" t="s">
        <v>2127</v>
      </c>
      <c r="C27" s="29" t="s">
        <v>432</v>
      </c>
      <c r="D27" s="29" t="s">
        <v>2073</v>
      </c>
      <c r="E27" s="29" t="s">
        <v>2074</v>
      </c>
      <c r="F27" s="30"/>
      <c r="G27" s="29" t="s">
        <v>433</v>
      </c>
      <c r="H27" s="29" t="s">
        <v>1157</v>
      </c>
      <c r="I27" s="29" t="s">
        <v>234</v>
      </c>
      <c r="J27" s="30"/>
      <c r="K27" s="29" t="s">
        <v>2460</v>
      </c>
      <c r="L27" s="29" t="s">
        <v>2461</v>
      </c>
      <c r="M27" s="29" t="s">
        <v>2406</v>
      </c>
      <c r="N27" s="29"/>
      <c r="O27" s="29"/>
      <c r="P27" s="29" t="s">
        <v>2462</v>
      </c>
    </row>
    <row r="28">
      <c r="A28" s="28">
        <v>1437.0</v>
      </c>
      <c r="B28" s="29" t="s">
        <v>2142</v>
      </c>
      <c r="C28" s="29" t="s">
        <v>449</v>
      </c>
      <c r="D28" s="29" t="s">
        <v>2143</v>
      </c>
      <c r="E28" s="29" t="s">
        <v>2144</v>
      </c>
      <c r="F28" s="30"/>
      <c r="G28" s="29" t="s">
        <v>441</v>
      </c>
      <c r="H28" s="29" t="s">
        <v>474</v>
      </c>
      <c r="I28" s="29" t="s">
        <v>41</v>
      </c>
      <c r="J28" s="30"/>
      <c r="K28" s="29" t="s">
        <v>537</v>
      </c>
      <c r="L28" s="29" t="s">
        <v>489</v>
      </c>
      <c r="M28" s="29" t="s">
        <v>2463</v>
      </c>
      <c r="N28" s="29"/>
      <c r="O28" s="29"/>
      <c r="P28" s="29" t="s">
        <v>2464</v>
      </c>
    </row>
    <row r="29">
      <c r="A29" s="28">
        <v>1442.0</v>
      </c>
      <c r="B29" s="29" t="s">
        <v>2465</v>
      </c>
      <c r="C29" s="29" t="s">
        <v>449</v>
      </c>
      <c r="D29" s="29" t="s">
        <v>2143</v>
      </c>
      <c r="E29" s="29" t="s">
        <v>2144</v>
      </c>
      <c r="F29" s="30"/>
      <c r="G29" s="29" t="s">
        <v>441</v>
      </c>
      <c r="H29" s="29" t="s">
        <v>1309</v>
      </c>
      <c r="I29" s="29" t="s">
        <v>41</v>
      </c>
      <c r="J29" s="30"/>
      <c r="K29" s="29" t="s">
        <v>542</v>
      </c>
      <c r="L29" s="29" t="s">
        <v>1189</v>
      </c>
      <c r="M29" s="29" t="s">
        <v>2466</v>
      </c>
      <c r="N29" s="29"/>
      <c r="O29" s="29"/>
      <c r="P29" s="29" t="s">
        <v>2467</v>
      </c>
    </row>
    <row r="30">
      <c r="A30" s="28">
        <v>8583.0</v>
      </c>
      <c r="B30" s="29" t="s">
        <v>2156</v>
      </c>
      <c r="C30" s="29" t="s">
        <v>432</v>
      </c>
      <c r="D30" s="29" t="s">
        <v>2157</v>
      </c>
      <c r="E30" s="29" t="s">
        <v>2158</v>
      </c>
      <c r="F30" s="29" t="s">
        <v>433</v>
      </c>
      <c r="G30" s="29" t="s">
        <v>433</v>
      </c>
      <c r="H30" s="29" t="s">
        <v>2468</v>
      </c>
      <c r="I30" s="29" t="s">
        <v>407</v>
      </c>
      <c r="J30" s="29" t="s">
        <v>2469</v>
      </c>
      <c r="K30" s="29" t="s">
        <v>450</v>
      </c>
      <c r="L30" s="29" t="s">
        <v>2470</v>
      </c>
      <c r="M30" s="29" t="s">
        <v>2471</v>
      </c>
      <c r="N30" s="29"/>
      <c r="O30" s="29"/>
      <c r="P30" s="29" t="s">
        <v>2472</v>
      </c>
    </row>
    <row r="31">
      <c r="A31" s="28">
        <v>10506.0</v>
      </c>
      <c r="B31" s="29" t="s">
        <v>2473</v>
      </c>
      <c r="C31" s="29" t="s">
        <v>432</v>
      </c>
      <c r="D31" s="29" t="s">
        <v>2164</v>
      </c>
      <c r="E31" s="29" t="s">
        <v>2165</v>
      </c>
      <c r="F31" s="30"/>
      <c r="G31" s="29" t="s">
        <v>441</v>
      </c>
      <c r="H31" s="29" t="s">
        <v>1157</v>
      </c>
      <c r="I31" s="29" t="s">
        <v>234</v>
      </c>
      <c r="J31" s="30"/>
      <c r="K31" s="29" t="s">
        <v>2474</v>
      </c>
      <c r="L31" s="29" t="s">
        <v>575</v>
      </c>
      <c r="M31" s="29" t="s">
        <v>2406</v>
      </c>
      <c r="N31" s="29"/>
      <c r="O31" s="29"/>
      <c r="P31" s="29" t="s">
        <v>2475</v>
      </c>
    </row>
    <row r="32">
      <c r="A32" s="28">
        <v>8582.0</v>
      </c>
      <c r="B32" s="29" t="s">
        <v>2476</v>
      </c>
      <c r="C32" s="29" t="s">
        <v>432</v>
      </c>
      <c r="D32" s="29" t="s">
        <v>2184</v>
      </c>
      <c r="E32" s="29" t="s">
        <v>2185</v>
      </c>
      <c r="F32" s="29" t="s">
        <v>678</v>
      </c>
      <c r="G32" s="29" t="s">
        <v>610</v>
      </c>
      <c r="H32" s="29" t="s">
        <v>482</v>
      </c>
      <c r="I32" s="29" t="s">
        <v>234</v>
      </c>
      <c r="J32" s="29" t="s">
        <v>2477</v>
      </c>
      <c r="K32" s="29" t="s">
        <v>450</v>
      </c>
      <c r="L32" s="29" t="s">
        <v>459</v>
      </c>
      <c r="M32" s="29" t="s">
        <v>694</v>
      </c>
      <c r="N32" s="29"/>
      <c r="O32" s="29"/>
      <c r="P32" s="29" t="s">
        <v>2478</v>
      </c>
    </row>
    <row r="33">
      <c r="A33" s="28">
        <v>10366.0</v>
      </c>
      <c r="B33" s="29" t="s">
        <v>2479</v>
      </c>
      <c r="C33" s="29" t="s">
        <v>432</v>
      </c>
      <c r="D33" s="29" t="s">
        <v>2191</v>
      </c>
      <c r="E33" s="29" t="s">
        <v>2192</v>
      </c>
      <c r="F33" s="30"/>
      <c r="G33" s="29" t="s">
        <v>433</v>
      </c>
      <c r="H33" s="29" t="s">
        <v>2480</v>
      </c>
      <c r="I33" s="29" t="s">
        <v>234</v>
      </c>
      <c r="J33" s="30"/>
      <c r="K33" s="30"/>
      <c r="L33" s="29" t="s">
        <v>2481</v>
      </c>
      <c r="M33" s="29" t="s">
        <v>2482</v>
      </c>
      <c r="N33" s="29"/>
      <c r="O33" s="29"/>
      <c r="P33" s="29" t="s">
        <v>2483</v>
      </c>
    </row>
    <row r="34">
      <c r="A34" s="28">
        <v>10374.0</v>
      </c>
      <c r="B34" s="29" t="s">
        <v>2484</v>
      </c>
      <c r="C34" s="29" t="s">
        <v>449</v>
      </c>
      <c r="D34" s="29" t="s">
        <v>2191</v>
      </c>
      <c r="E34" s="29" t="s">
        <v>2192</v>
      </c>
      <c r="F34" s="30"/>
      <c r="G34" s="29" t="s">
        <v>441</v>
      </c>
      <c r="H34" s="29" t="s">
        <v>434</v>
      </c>
      <c r="I34" s="29" t="s">
        <v>45</v>
      </c>
      <c r="J34" s="29" t="s">
        <v>2485</v>
      </c>
      <c r="K34" s="29" t="s">
        <v>2486</v>
      </c>
      <c r="L34" s="29" t="s">
        <v>2487</v>
      </c>
      <c r="M34" s="29" t="s">
        <v>2488</v>
      </c>
      <c r="N34" s="29"/>
      <c r="O34" s="29"/>
      <c r="P34" s="29" t="s">
        <v>2489</v>
      </c>
    </row>
    <row r="35">
      <c r="A35" s="28">
        <v>1447.0</v>
      </c>
      <c r="B35" s="29" t="s">
        <v>2490</v>
      </c>
      <c r="C35" s="29" t="s">
        <v>449</v>
      </c>
      <c r="D35" s="29" t="s">
        <v>2205</v>
      </c>
      <c r="E35" s="29" t="s">
        <v>2206</v>
      </c>
      <c r="F35" s="30"/>
      <c r="G35" s="29" t="s">
        <v>441</v>
      </c>
      <c r="H35" s="29" t="s">
        <v>434</v>
      </c>
      <c r="I35" s="29" t="s">
        <v>41</v>
      </c>
      <c r="J35" s="30"/>
      <c r="K35" s="29" t="s">
        <v>2491</v>
      </c>
      <c r="L35" s="29" t="s">
        <v>2492</v>
      </c>
      <c r="M35" s="29" t="s">
        <v>2493</v>
      </c>
      <c r="N35" s="29"/>
      <c r="O35" s="29"/>
      <c r="P35" s="29" t="s">
        <v>2494</v>
      </c>
    </row>
    <row r="36">
      <c r="A36" s="28">
        <v>1449.0</v>
      </c>
      <c r="B36" s="29" t="s">
        <v>2212</v>
      </c>
      <c r="C36" s="29" t="s">
        <v>449</v>
      </c>
      <c r="D36" s="29" t="s">
        <v>2205</v>
      </c>
      <c r="E36" s="29" t="s">
        <v>2206</v>
      </c>
      <c r="F36" s="29" t="s">
        <v>433</v>
      </c>
      <c r="G36" s="29" t="s">
        <v>433</v>
      </c>
      <c r="H36" s="29" t="s">
        <v>2495</v>
      </c>
      <c r="I36" s="29" t="s">
        <v>41</v>
      </c>
      <c r="J36" s="29" t="s">
        <v>2496</v>
      </c>
      <c r="K36" s="29" t="s">
        <v>693</v>
      </c>
      <c r="L36" s="29" t="s">
        <v>2497</v>
      </c>
      <c r="M36" s="29" t="s">
        <v>2498</v>
      </c>
      <c r="N36" s="29"/>
      <c r="O36" s="29"/>
      <c r="P36" s="29" t="s">
        <v>2499</v>
      </c>
    </row>
    <row r="37">
      <c r="A37" s="28">
        <v>8618.0</v>
      </c>
      <c r="B37" s="29" t="s">
        <v>2500</v>
      </c>
      <c r="C37" s="29" t="s">
        <v>432</v>
      </c>
      <c r="D37" s="29" t="s">
        <v>2205</v>
      </c>
      <c r="E37" s="29" t="s">
        <v>2206</v>
      </c>
      <c r="F37" s="30"/>
      <c r="G37" s="29" t="s">
        <v>441</v>
      </c>
      <c r="H37" s="29" t="s">
        <v>2501</v>
      </c>
      <c r="I37" s="29" t="s">
        <v>144</v>
      </c>
      <c r="J37" s="30"/>
      <c r="K37" s="29" t="s">
        <v>1141</v>
      </c>
      <c r="L37" s="29" t="s">
        <v>489</v>
      </c>
      <c r="M37" s="29" t="s">
        <v>2502</v>
      </c>
      <c r="N37" s="29"/>
      <c r="O37" s="29"/>
      <c r="P37" s="29" t="s">
        <v>2503</v>
      </c>
    </row>
    <row r="38">
      <c r="A38" s="28">
        <v>8619.0</v>
      </c>
      <c r="B38" s="29" t="s">
        <v>2504</v>
      </c>
      <c r="C38" s="29" t="s">
        <v>449</v>
      </c>
      <c r="D38" s="29" t="s">
        <v>2205</v>
      </c>
      <c r="E38" s="29" t="s">
        <v>2206</v>
      </c>
      <c r="F38" s="30"/>
      <c r="G38" s="29" t="s">
        <v>441</v>
      </c>
      <c r="H38" s="30"/>
      <c r="I38" s="29" t="s">
        <v>41</v>
      </c>
      <c r="J38" s="30"/>
      <c r="K38" s="29" t="s">
        <v>643</v>
      </c>
      <c r="L38" s="29" t="s">
        <v>538</v>
      </c>
      <c r="M38" s="29" t="s">
        <v>2505</v>
      </c>
      <c r="N38" s="29"/>
      <c r="O38" s="29"/>
      <c r="P38" s="29" t="s">
        <v>2506</v>
      </c>
    </row>
    <row r="39">
      <c r="A39" s="28">
        <v>1458.0</v>
      </c>
      <c r="B39" s="29" t="s">
        <v>2507</v>
      </c>
      <c r="C39" s="29" t="s">
        <v>432</v>
      </c>
      <c r="D39" s="29" t="s">
        <v>2237</v>
      </c>
      <c r="E39" s="29" t="s">
        <v>2238</v>
      </c>
      <c r="F39" s="30"/>
      <c r="G39" s="29" t="s">
        <v>441</v>
      </c>
      <c r="H39" s="29" t="s">
        <v>2508</v>
      </c>
      <c r="I39" s="29" t="s">
        <v>407</v>
      </c>
      <c r="J39" s="30"/>
      <c r="K39" s="29" t="s">
        <v>521</v>
      </c>
      <c r="L39" s="29" t="s">
        <v>538</v>
      </c>
      <c r="M39" s="29" t="s">
        <v>2423</v>
      </c>
      <c r="N39" s="29"/>
      <c r="O39" s="29"/>
      <c r="P39" s="29" t="s">
        <v>2509</v>
      </c>
    </row>
    <row r="40">
      <c r="A40" s="28">
        <v>10016.0</v>
      </c>
      <c r="B40" s="29" t="s">
        <v>2510</v>
      </c>
      <c r="C40" s="29" t="s">
        <v>449</v>
      </c>
      <c r="D40" s="29" t="s">
        <v>2245</v>
      </c>
      <c r="E40" s="29" t="s">
        <v>2246</v>
      </c>
      <c r="F40" s="30"/>
      <c r="G40" s="29" t="s">
        <v>441</v>
      </c>
      <c r="H40" s="29" t="s">
        <v>658</v>
      </c>
      <c r="I40" s="29" t="s">
        <v>45</v>
      </c>
      <c r="J40" s="30"/>
      <c r="K40" s="29" t="s">
        <v>1305</v>
      </c>
      <c r="L40" s="29" t="s">
        <v>489</v>
      </c>
      <c r="M40" s="29" t="s">
        <v>2511</v>
      </c>
      <c r="N40" s="29"/>
      <c r="O40" s="29"/>
      <c r="P40" s="29" t="s">
        <v>2512</v>
      </c>
    </row>
    <row r="41">
      <c r="A41" s="28">
        <v>8538.0</v>
      </c>
      <c r="B41" s="29" t="s">
        <v>2513</v>
      </c>
      <c r="C41" s="29" t="s">
        <v>449</v>
      </c>
      <c r="D41" s="29" t="s">
        <v>2255</v>
      </c>
      <c r="E41" s="29" t="s">
        <v>2256</v>
      </c>
      <c r="F41" s="30"/>
      <c r="G41" s="29" t="s">
        <v>441</v>
      </c>
      <c r="H41" s="29" t="s">
        <v>469</v>
      </c>
      <c r="I41" s="29" t="s">
        <v>41</v>
      </c>
      <c r="J41" s="30"/>
      <c r="K41" s="29" t="s">
        <v>659</v>
      </c>
      <c r="L41" s="29" t="s">
        <v>2514</v>
      </c>
      <c r="M41" s="29" t="s">
        <v>2515</v>
      </c>
      <c r="N41" s="29"/>
      <c r="O41" s="29"/>
      <c r="P41" s="29" t="s">
        <v>2516</v>
      </c>
    </row>
    <row r="42">
      <c r="A42" s="28">
        <v>1462.0</v>
      </c>
      <c r="B42" s="29" t="s">
        <v>2517</v>
      </c>
      <c r="C42" s="29" t="s">
        <v>449</v>
      </c>
      <c r="D42" s="29" t="s">
        <v>2264</v>
      </c>
      <c r="E42" s="29" t="s">
        <v>2265</v>
      </c>
      <c r="F42" s="30"/>
      <c r="G42" s="29" t="s">
        <v>433</v>
      </c>
      <c r="H42" s="29" t="s">
        <v>2518</v>
      </c>
      <c r="I42" s="29" t="s">
        <v>41</v>
      </c>
      <c r="J42" s="30"/>
      <c r="K42" s="29" t="s">
        <v>2519</v>
      </c>
      <c r="L42" s="29" t="s">
        <v>2520</v>
      </c>
      <c r="M42" s="29" t="s">
        <v>2521</v>
      </c>
      <c r="N42" s="29"/>
      <c r="O42" s="29"/>
      <c r="P42" s="29" t="s">
        <v>2522</v>
      </c>
    </row>
    <row r="43">
      <c r="A43" s="28">
        <v>1464.0</v>
      </c>
      <c r="B43" s="29" t="s">
        <v>2523</v>
      </c>
      <c r="C43" s="29" t="s">
        <v>449</v>
      </c>
      <c r="D43" s="29" t="s">
        <v>2264</v>
      </c>
      <c r="E43" s="29" t="s">
        <v>2265</v>
      </c>
      <c r="F43" s="30"/>
      <c r="G43" s="29" t="s">
        <v>450</v>
      </c>
      <c r="H43" s="29" t="s">
        <v>526</v>
      </c>
      <c r="I43" s="29" t="s">
        <v>41</v>
      </c>
      <c r="J43" s="30"/>
      <c r="K43" s="29" t="s">
        <v>681</v>
      </c>
      <c r="L43" s="29" t="s">
        <v>459</v>
      </c>
      <c r="M43" s="29" t="s">
        <v>2524</v>
      </c>
      <c r="N43" s="29"/>
      <c r="O43" s="29"/>
      <c r="P43" s="29" t="s">
        <v>2525</v>
      </c>
    </row>
    <row r="44">
      <c r="A44" s="28">
        <v>1466.0</v>
      </c>
      <c r="B44" s="29" t="s">
        <v>2526</v>
      </c>
      <c r="C44" s="29" t="s">
        <v>449</v>
      </c>
      <c r="D44" s="29" t="s">
        <v>2264</v>
      </c>
      <c r="E44" s="29" t="s">
        <v>2265</v>
      </c>
      <c r="F44" s="30"/>
      <c r="G44" s="29" t="s">
        <v>610</v>
      </c>
      <c r="H44" s="29" t="s">
        <v>634</v>
      </c>
      <c r="I44" s="29" t="s">
        <v>41</v>
      </c>
      <c r="J44" s="30"/>
      <c r="K44" s="29" t="s">
        <v>2527</v>
      </c>
      <c r="L44" s="29" t="s">
        <v>2386</v>
      </c>
      <c r="M44" s="29" t="s">
        <v>2528</v>
      </c>
      <c r="N44" s="29"/>
      <c r="O44" s="29"/>
      <c r="P44" s="29" t="s">
        <v>2529</v>
      </c>
    </row>
    <row r="45">
      <c r="A45" s="28">
        <v>1468.0</v>
      </c>
      <c r="B45" s="29" t="s">
        <v>2530</v>
      </c>
      <c r="C45" s="29" t="s">
        <v>449</v>
      </c>
      <c r="D45" s="29" t="s">
        <v>2264</v>
      </c>
      <c r="E45" s="29" t="s">
        <v>2265</v>
      </c>
      <c r="F45" s="30"/>
      <c r="G45" s="29" t="s">
        <v>441</v>
      </c>
      <c r="H45" s="29" t="s">
        <v>526</v>
      </c>
      <c r="I45" s="29" t="s">
        <v>41</v>
      </c>
      <c r="J45" s="30"/>
      <c r="K45" s="29" t="s">
        <v>1141</v>
      </c>
      <c r="L45" s="29" t="s">
        <v>621</v>
      </c>
      <c r="M45" s="29" t="s">
        <v>1722</v>
      </c>
      <c r="N45" s="29"/>
      <c r="O45" s="29"/>
      <c r="P45" s="29" t="s">
        <v>2531</v>
      </c>
    </row>
    <row r="46">
      <c r="A46" s="28">
        <v>9866.0</v>
      </c>
      <c r="B46" s="29" t="s">
        <v>2532</v>
      </c>
      <c r="C46" s="29" t="s">
        <v>449</v>
      </c>
      <c r="D46" s="29" t="s">
        <v>2264</v>
      </c>
      <c r="E46" s="29" t="s">
        <v>2265</v>
      </c>
      <c r="F46" s="30"/>
      <c r="G46" s="29" t="s">
        <v>441</v>
      </c>
      <c r="H46" s="29" t="s">
        <v>2533</v>
      </c>
      <c r="I46" s="29" t="s">
        <v>407</v>
      </c>
      <c r="J46" s="30"/>
      <c r="K46" s="30"/>
      <c r="L46" s="29" t="s">
        <v>489</v>
      </c>
      <c r="M46" s="29" t="s">
        <v>2534</v>
      </c>
      <c r="N46" s="29"/>
      <c r="O46" s="29"/>
      <c r="P46" s="29" t="s">
        <v>2535</v>
      </c>
    </row>
    <row r="47">
      <c r="A47" s="28">
        <v>1471.0</v>
      </c>
      <c r="B47" s="29" t="s">
        <v>2536</v>
      </c>
      <c r="C47" s="29" t="s">
        <v>449</v>
      </c>
      <c r="D47" s="29" t="s">
        <v>2296</v>
      </c>
      <c r="E47" s="29" t="s">
        <v>2297</v>
      </c>
      <c r="F47" s="30"/>
      <c r="G47" s="29" t="s">
        <v>441</v>
      </c>
      <c r="H47" s="29" t="s">
        <v>546</v>
      </c>
      <c r="I47" s="29" t="s">
        <v>41</v>
      </c>
      <c r="J47" s="30"/>
      <c r="K47" s="29" t="s">
        <v>659</v>
      </c>
      <c r="L47" s="29" t="s">
        <v>538</v>
      </c>
      <c r="M47" s="29" t="s">
        <v>2537</v>
      </c>
      <c r="N47" s="29"/>
      <c r="O47" s="29"/>
      <c r="P47" s="29" t="s">
        <v>2538</v>
      </c>
    </row>
    <row r="48">
      <c r="A48" s="28">
        <v>2023.0</v>
      </c>
      <c r="B48" s="29" t="s">
        <v>2539</v>
      </c>
      <c r="C48" s="29" t="s">
        <v>449</v>
      </c>
      <c r="D48" s="29" t="s">
        <v>2296</v>
      </c>
      <c r="E48" s="29" t="s">
        <v>2297</v>
      </c>
      <c r="F48" s="30"/>
      <c r="G48" s="29" t="s">
        <v>441</v>
      </c>
      <c r="H48" s="29" t="s">
        <v>434</v>
      </c>
      <c r="I48" s="29" t="s">
        <v>41</v>
      </c>
      <c r="J48" s="30"/>
      <c r="K48" s="29" t="s">
        <v>2540</v>
      </c>
      <c r="L48" s="29" t="s">
        <v>2541</v>
      </c>
      <c r="M48" s="29" t="s">
        <v>2542</v>
      </c>
      <c r="N48" s="29"/>
      <c r="O48" s="29"/>
      <c r="P48" s="29" t="s">
        <v>2543</v>
      </c>
    </row>
    <row r="49">
      <c r="A49" s="28">
        <v>8593.0</v>
      </c>
      <c r="B49" s="29" t="s">
        <v>2544</v>
      </c>
      <c r="C49" s="29" t="s">
        <v>432</v>
      </c>
      <c r="D49" s="29" t="s">
        <v>2296</v>
      </c>
      <c r="E49" s="29" t="s">
        <v>2297</v>
      </c>
      <c r="F49" s="30"/>
      <c r="G49" s="29" t="s">
        <v>433</v>
      </c>
      <c r="H49" s="29" t="s">
        <v>1105</v>
      </c>
      <c r="I49" s="29" t="s">
        <v>435</v>
      </c>
      <c r="J49" s="30"/>
      <c r="K49" s="29" t="s">
        <v>547</v>
      </c>
      <c r="L49" s="30"/>
      <c r="M49" s="29" t="s">
        <v>2545</v>
      </c>
      <c r="N49" s="29"/>
      <c r="O49" s="29"/>
      <c r="P49" s="29" t="s">
        <v>2546</v>
      </c>
    </row>
    <row r="50">
      <c r="A50" s="28">
        <v>4939.0</v>
      </c>
      <c r="B50" s="29" t="s">
        <v>2547</v>
      </c>
      <c r="C50" s="29" t="s">
        <v>432</v>
      </c>
      <c r="D50" s="29" t="s">
        <v>2316</v>
      </c>
      <c r="E50" s="29" t="s">
        <v>2317</v>
      </c>
      <c r="F50" s="30"/>
      <c r="G50" s="29" t="s">
        <v>441</v>
      </c>
      <c r="H50" s="29" t="s">
        <v>474</v>
      </c>
      <c r="I50" s="29" t="s">
        <v>850</v>
      </c>
      <c r="J50" s="30"/>
      <c r="K50" s="29" t="s">
        <v>537</v>
      </c>
      <c r="L50" s="29" t="s">
        <v>489</v>
      </c>
      <c r="M50" s="29" t="s">
        <v>2548</v>
      </c>
      <c r="N50" s="29"/>
      <c r="O50" s="29"/>
      <c r="P50" s="29" t="s">
        <v>2549</v>
      </c>
    </row>
    <row r="51">
      <c r="A51" s="28">
        <v>4941.0</v>
      </c>
      <c r="B51" s="29" t="s">
        <v>2550</v>
      </c>
      <c r="C51" s="29" t="s">
        <v>432</v>
      </c>
      <c r="D51" s="29" t="s">
        <v>2327</v>
      </c>
      <c r="E51" s="29" t="s">
        <v>2328</v>
      </c>
      <c r="F51" s="30"/>
      <c r="G51" s="29" t="s">
        <v>441</v>
      </c>
      <c r="H51" s="29" t="s">
        <v>434</v>
      </c>
      <c r="I51" s="29" t="s">
        <v>580</v>
      </c>
      <c r="J51" s="30"/>
      <c r="K51" s="29" t="s">
        <v>1141</v>
      </c>
      <c r="L51" s="29" t="s">
        <v>538</v>
      </c>
      <c r="M51" s="29" t="s">
        <v>2551</v>
      </c>
      <c r="N51" s="29"/>
      <c r="O51" s="29"/>
      <c r="P51" s="29" t="s">
        <v>2552</v>
      </c>
    </row>
    <row r="52">
      <c r="A52" s="28">
        <v>10395.0</v>
      </c>
      <c r="B52" s="29" t="s">
        <v>2553</v>
      </c>
      <c r="C52" s="29" t="s">
        <v>449</v>
      </c>
      <c r="D52" s="29" t="s">
        <v>2327</v>
      </c>
      <c r="E52" s="29" t="s">
        <v>2328</v>
      </c>
      <c r="F52" s="29" t="s">
        <v>433</v>
      </c>
      <c r="G52" s="29" t="s">
        <v>664</v>
      </c>
      <c r="H52" s="29" t="s">
        <v>2554</v>
      </c>
      <c r="I52" s="29" t="s">
        <v>45</v>
      </c>
      <c r="J52" s="30"/>
      <c r="K52" s="30"/>
      <c r="L52" s="29" t="s">
        <v>2555</v>
      </c>
      <c r="M52" s="29" t="s">
        <v>2556</v>
      </c>
      <c r="N52" s="29"/>
      <c r="O52" s="29"/>
      <c r="P52" s="29" t="s">
        <v>2557</v>
      </c>
    </row>
    <row r="53">
      <c r="A53" s="28">
        <v>9614.0</v>
      </c>
      <c r="B53" s="29" t="s">
        <v>2558</v>
      </c>
      <c r="C53" s="29" t="s">
        <v>449</v>
      </c>
      <c r="D53" s="29" t="s">
        <v>2345</v>
      </c>
      <c r="E53" s="29" t="s">
        <v>2346</v>
      </c>
      <c r="F53" s="30"/>
      <c r="G53" s="29" t="s">
        <v>433</v>
      </c>
      <c r="H53" s="29" t="s">
        <v>1135</v>
      </c>
      <c r="I53" s="29" t="s">
        <v>45</v>
      </c>
      <c r="J53" s="30"/>
      <c r="K53" s="29" t="s">
        <v>464</v>
      </c>
      <c r="L53" s="29" t="s">
        <v>674</v>
      </c>
      <c r="M53" s="29" t="s">
        <v>1830</v>
      </c>
      <c r="N53" s="29"/>
      <c r="O53" s="29"/>
      <c r="P53" s="29" t="s">
        <v>2559</v>
      </c>
    </row>
    <row r="54">
      <c r="A54" s="138"/>
      <c r="B54" s="138"/>
      <c r="C54" s="138"/>
      <c r="D54" s="138"/>
      <c r="E54" s="138"/>
      <c r="F54" s="138"/>
      <c r="G54" s="138"/>
      <c r="H54" s="138"/>
      <c r="I54" s="138"/>
      <c r="J54" s="138"/>
      <c r="K54" s="138"/>
      <c r="L54" s="138"/>
      <c r="M54" s="138"/>
      <c r="N54" s="138"/>
      <c r="O54" s="138"/>
      <c r="P54" s="138"/>
    </row>
    <row r="55">
      <c r="A55" s="138"/>
      <c r="B55" s="138"/>
      <c r="C55" s="138"/>
      <c r="D55" s="138"/>
      <c r="E55" s="138"/>
      <c r="F55" s="138"/>
      <c r="G55" s="138"/>
      <c r="H55" s="138"/>
      <c r="I55" s="138"/>
      <c r="J55" s="138"/>
      <c r="K55" s="138"/>
      <c r="L55" s="138"/>
      <c r="M55" s="138"/>
      <c r="N55" s="138"/>
      <c r="O55" s="138"/>
      <c r="P55" s="138"/>
    </row>
    <row r="56">
      <c r="A56" s="138"/>
      <c r="B56" s="138"/>
      <c r="C56" s="138"/>
      <c r="D56" s="138"/>
      <c r="E56" s="138"/>
      <c r="F56" s="138"/>
      <c r="G56" s="138"/>
      <c r="H56" s="138"/>
      <c r="I56" s="138"/>
      <c r="J56" s="138"/>
      <c r="K56" s="138"/>
      <c r="L56" s="138"/>
      <c r="M56" s="138"/>
      <c r="N56" s="138"/>
      <c r="O56" s="138"/>
      <c r="P56" s="138"/>
    </row>
    <row r="57">
      <c r="A57" s="138"/>
      <c r="B57" s="138"/>
      <c r="C57" s="138"/>
      <c r="D57" s="138"/>
      <c r="E57" s="138"/>
      <c r="F57" s="138"/>
      <c r="G57" s="138"/>
      <c r="H57" s="138"/>
      <c r="I57" s="138"/>
      <c r="J57" s="138"/>
      <c r="K57" s="138"/>
      <c r="L57" s="138"/>
      <c r="M57" s="138"/>
      <c r="N57" s="138"/>
      <c r="O57" s="138"/>
      <c r="P57" s="138"/>
    </row>
    <row r="58">
      <c r="A58" s="138"/>
      <c r="B58" s="138"/>
      <c r="C58" s="138"/>
      <c r="D58" s="138"/>
      <c r="E58" s="138"/>
      <c r="F58" s="138"/>
      <c r="G58" s="138"/>
      <c r="H58" s="138"/>
      <c r="I58" s="138"/>
      <c r="J58" s="138"/>
      <c r="K58" s="138"/>
      <c r="L58" s="138"/>
      <c r="M58" s="138"/>
      <c r="N58" s="138"/>
      <c r="O58" s="138"/>
      <c r="P58" s="138"/>
    </row>
    <row r="59">
      <c r="A59" s="138"/>
      <c r="B59" s="138"/>
      <c r="C59" s="138"/>
      <c r="D59" s="138"/>
      <c r="E59" s="138"/>
      <c r="F59" s="138"/>
      <c r="G59" s="138"/>
      <c r="H59" s="138"/>
      <c r="I59" s="138"/>
      <c r="J59" s="138"/>
      <c r="K59" s="138"/>
      <c r="L59" s="138"/>
      <c r="M59" s="138"/>
      <c r="N59" s="138"/>
      <c r="O59" s="138"/>
      <c r="P59" s="138"/>
    </row>
    <row r="60">
      <c r="A60" s="138"/>
      <c r="B60" s="138"/>
      <c r="C60" s="138"/>
      <c r="D60" s="138"/>
      <c r="E60" s="138"/>
      <c r="F60" s="138"/>
      <c r="G60" s="138"/>
      <c r="H60" s="138"/>
      <c r="I60" s="138"/>
      <c r="J60" s="138"/>
      <c r="K60" s="138"/>
      <c r="L60" s="138"/>
      <c r="M60" s="138"/>
      <c r="N60" s="138"/>
      <c r="O60" s="138"/>
      <c r="P60" s="138"/>
    </row>
    <row r="61">
      <c r="A61" s="138"/>
      <c r="B61" s="138"/>
      <c r="C61" s="138"/>
      <c r="D61" s="138"/>
      <c r="E61" s="138"/>
      <c r="F61" s="138"/>
      <c r="G61" s="138"/>
      <c r="H61" s="138"/>
      <c r="I61" s="138"/>
      <c r="J61" s="138"/>
      <c r="K61" s="138"/>
      <c r="L61" s="138"/>
      <c r="M61" s="138"/>
      <c r="N61" s="138"/>
      <c r="O61" s="138"/>
      <c r="P61" s="138"/>
    </row>
    <row r="62">
      <c r="A62" s="138"/>
      <c r="B62" s="138"/>
      <c r="C62" s="138"/>
      <c r="D62" s="138"/>
      <c r="E62" s="138"/>
      <c r="F62" s="138"/>
      <c r="G62" s="138"/>
      <c r="H62" s="138"/>
      <c r="I62" s="138"/>
      <c r="J62" s="138"/>
      <c r="K62" s="138"/>
      <c r="L62" s="138"/>
      <c r="M62" s="138"/>
      <c r="N62" s="138"/>
      <c r="O62" s="138"/>
      <c r="P62" s="138"/>
    </row>
    <row r="63">
      <c r="A63" s="138"/>
      <c r="B63" s="138"/>
      <c r="C63" s="138"/>
      <c r="D63" s="138"/>
      <c r="E63" s="138"/>
      <c r="F63" s="138"/>
      <c r="G63" s="138"/>
      <c r="H63" s="138"/>
      <c r="I63" s="138"/>
      <c r="J63" s="138"/>
      <c r="K63" s="138"/>
      <c r="L63" s="138"/>
      <c r="M63" s="138"/>
      <c r="N63" s="138"/>
      <c r="O63" s="138"/>
      <c r="P63" s="138"/>
    </row>
    <row r="64">
      <c r="A64" s="138"/>
      <c r="B64" s="138"/>
      <c r="C64" s="138"/>
      <c r="D64" s="138"/>
      <c r="E64" s="138"/>
      <c r="F64" s="138"/>
      <c r="G64" s="138"/>
      <c r="H64" s="138"/>
      <c r="I64" s="138"/>
      <c r="J64" s="138"/>
      <c r="K64" s="138"/>
      <c r="L64" s="138"/>
      <c r="M64" s="138"/>
      <c r="N64" s="138"/>
      <c r="O64" s="138"/>
      <c r="P64" s="138"/>
    </row>
    <row r="65">
      <c r="A65" s="138"/>
      <c r="B65" s="138"/>
      <c r="C65" s="138"/>
      <c r="D65" s="138"/>
      <c r="E65" s="138"/>
      <c r="F65" s="138"/>
      <c r="G65" s="138"/>
      <c r="H65" s="138"/>
      <c r="I65" s="138"/>
      <c r="J65" s="138"/>
      <c r="K65" s="138"/>
      <c r="L65" s="138"/>
      <c r="M65" s="138"/>
      <c r="N65" s="138"/>
      <c r="O65" s="138"/>
      <c r="P65" s="138"/>
    </row>
    <row r="66">
      <c r="A66" s="138"/>
      <c r="B66" s="138"/>
      <c r="C66" s="138"/>
      <c r="D66" s="138"/>
      <c r="E66" s="138"/>
      <c r="F66" s="138"/>
      <c r="G66" s="138"/>
      <c r="H66" s="138"/>
      <c r="I66" s="138"/>
      <c r="J66" s="138"/>
      <c r="K66" s="138"/>
      <c r="L66" s="138"/>
      <c r="M66" s="138"/>
      <c r="N66" s="138"/>
      <c r="O66" s="138"/>
      <c r="P66" s="138"/>
    </row>
    <row r="67">
      <c r="A67" s="138"/>
      <c r="B67" s="138"/>
      <c r="C67" s="138"/>
      <c r="D67" s="138"/>
      <c r="E67" s="138"/>
      <c r="F67" s="138"/>
      <c r="G67" s="138"/>
      <c r="H67" s="138"/>
      <c r="I67" s="138"/>
      <c r="J67" s="138"/>
      <c r="K67" s="138"/>
      <c r="L67" s="138"/>
      <c r="M67" s="138"/>
      <c r="N67" s="138"/>
      <c r="O67" s="138"/>
      <c r="P67" s="138"/>
    </row>
    <row r="68">
      <c r="A68" s="138"/>
      <c r="B68" s="138"/>
      <c r="C68" s="138"/>
      <c r="D68" s="138"/>
      <c r="E68" s="138"/>
      <c r="F68" s="138"/>
      <c r="G68" s="138"/>
      <c r="H68" s="138"/>
      <c r="I68" s="138"/>
      <c r="J68" s="138"/>
      <c r="K68" s="138"/>
      <c r="L68" s="138"/>
      <c r="M68" s="138"/>
      <c r="N68" s="138"/>
      <c r="O68" s="138"/>
      <c r="P68" s="138"/>
    </row>
    <row r="69">
      <c r="A69" s="138"/>
      <c r="B69" s="138"/>
      <c r="C69" s="138"/>
      <c r="D69" s="138"/>
      <c r="E69" s="138"/>
      <c r="F69" s="138"/>
      <c r="G69" s="138"/>
      <c r="H69" s="138"/>
      <c r="I69" s="138"/>
      <c r="J69" s="138"/>
      <c r="K69" s="138"/>
      <c r="L69" s="138"/>
      <c r="M69" s="138"/>
      <c r="N69" s="138"/>
      <c r="O69" s="138"/>
      <c r="P69" s="138"/>
    </row>
    <row r="70">
      <c r="A70" s="138"/>
      <c r="B70" s="138"/>
      <c r="C70" s="138"/>
      <c r="D70" s="138"/>
      <c r="E70" s="138"/>
      <c r="F70" s="138"/>
      <c r="G70" s="138"/>
      <c r="H70" s="138"/>
      <c r="I70" s="138"/>
      <c r="J70" s="138"/>
      <c r="K70" s="138"/>
      <c r="L70" s="138"/>
      <c r="M70" s="138"/>
      <c r="N70" s="138"/>
      <c r="O70" s="138"/>
      <c r="P70" s="138"/>
    </row>
    <row r="71">
      <c r="A71" s="138"/>
      <c r="B71" s="138"/>
      <c r="C71" s="138"/>
      <c r="D71" s="138"/>
      <c r="E71" s="138"/>
      <c r="F71" s="138"/>
      <c r="G71" s="138"/>
      <c r="H71" s="138"/>
      <c r="I71" s="138"/>
      <c r="J71" s="138"/>
      <c r="K71" s="138"/>
      <c r="L71" s="138"/>
      <c r="M71" s="138"/>
      <c r="N71" s="138"/>
      <c r="O71" s="138"/>
      <c r="P71" s="138"/>
    </row>
    <row r="72">
      <c r="A72" s="138"/>
      <c r="B72" s="138"/>
      <c r="C72" s="138"/>
      <c r="D72" s="138"/>
      <c r="E72" s="138"/>
      <c r="F72" s="138"/>
      <c r="G72" s="138"/>
      <c r="H72" s="138"/>
      <c r="I72" s="138"/>
      <c r="J72" s="138"/>
      <c r="K72" s="138"/>
      <c r="L72" s="138"/>
      <c r="M72" s="138"/>
      <c r="N72" s="138"/>
      <c r="O72" s="138"/>
      <c r="P72" s="138"/>
    </row>
    <row r="73">
      <c r="A73" s="138"/>
      <c r="B73" s="138"/>
      <c r="C73" s="138"/>
      <c r="D73" s="138"/>
      <c r="E73" s="138"/>
      <c r="F73" s="138"/>
      <c r="G73" s="138"/>
      <c r="H73" s="138"/>
      <c r="I73" s="138"/>
      <c r="J73" s="138"/>
      <c r="K73" s="138"/>
      <c r="L73" s="138"/>
      <c r="M73" s="138"/>
      <c r="N73" s="138"/>
      <c r="O73" s="138"/>
      <c r="P73" s="138"/>
    </row>
    <row r="74">
      <c r="A74" s="138"/>
      <c r="B74" s="138"/>
      <c r="C74" s="138"/>
      <c r="D74" s="138"/>
      <c r="E74" s="138"/>
      <c r="F74" s="138"/>
      <c r="G74" s="138"/>
      <c r="H74" s="138"/>
      <c r="I74" s="138"/>
      <c r="J74" s="138"/>
      <c r="K74" s="138"/>
      <c r="L74" s="138"/>
      <c r="M74" s="138"/>
      <c r="N74" s="138"/>
      <c r="O74" s="138"/>
      <c r="P74" s="138"/>
    </row>
    <row r="75">
      <c r="A75" s="138"/>
      <c r="B75" s="138"/>
      <c r="C75" s="138"/>
      <c r="D75" s="138"/>
      <c r="E75" s="138"/>
      <c r="F75" s="138"/>
      <c r="G75" s="138"/>
      <c r="H75" s="138"/>
      <c r="I75" s="138"/>
      <c r="J75" s="138"/>
      <c r="K75" s="138"/>
      <c r="L75" s="138"/>
      <c r="M75" s="138"/>
      <c r="N75" s="138"/>
      <c r="O75" s="138"/>
      <c r="P75" s="138"/>
    </row>
    <row r="76">
      <c r="A76" s="138"/>
      <c r="B76" s="138"/>
      <c r="C76" s="138"/>
      <c r="D76" s="138"/>
      <c r="E76" s="138"/>
      <c r="F76" s="138"/>
      <c r="G76" s="138"/>
      <c r="H76" s="138"/>
      <c r="I76" s="138"/>
      <c r="J76" s="138"/>
      <c r="K76" s="138"/>
      <c r="L76" s="138"/>
      <c r="M76" s="138"/>
      <c r="N76" s="138"/>
      <c r="O76" s="138"/>
      <c r="P76" s="138"/>
    </row>
    <row r="77">
      <c r="A77" s="138"/>
      <c r="B77" s="138"/>
      <c r="C77" s="138"/>
      <c r="D77" s="138"/>
      <c r="E77" s="138"/>
      <c r="F77" s="138"/>
      <c r="G77" s="138"/>
      <c r="H77" s="138"/>
      <c r="I77" s="138"/>
      <c r="J77" s="138"/>
      <c r="K77" s="138"/>
      <c r="L77" s="138"/>
      <c r="M77" s="138"/>
      <c r="N77" s="138"/>
      <c r="O77" s="138"/>
      <c r="P77" s="138"/>
    </row>
    <row r="78">
      <c r="A78" s="138"/>
      <c r="B78" s="138"/>
      <c r="C78" s="138"/>
      <c r="D78" s="138"/>
      <c r="E78" s="138"/>
      <c r="F78" s="138"/>
      <c r="G78" s="138"/>
      <c r="H78" s="138"/>
      <c r="I78" s="138"/>
      <c r="J78" s="138"/>
      <c r="K78" s="138"/>
      <c r="L78" s="138"/>
      <c r="M78" s="138"/>
      <c r="N78" s="138"/>
      <c r="O78" s="138"/>
      <c r="P78" s="138"/>
    </row>
    <row r="79">
      <c r="A79" s="138"/>
      <c r="B79" s="138"/>
      <c r="C79" s="138"/>
      <c r="D79" s="138"/>
      <c r="E79" s="138"/>
      <c r="F79" s="138"/>
      <c r="G79" s="138"/>
      <c r="H79" s="138"/>
      <c r="I79" s="138"/>
      <c r="J79" s="138"/>
      <c r="K79" s="138"/>
      <c r="L79" s="138"/>
      <c r="M79" s="138"/>
      <c r="N79" s="138"/>
      <c r="O79" s="138"/>
      <c r="P79" s="138"/>
    </row>
    <row r="80">
      <c r="A80" s="138"/>
      <c r="B80" s="138"/>
      <c r="C80" s="138"/>
      <c r="D80" s="138"/>
      <c r="E80" s="138"/>
      <c r="F80" s="138"/>
      <c r="G80" s="138"/>
      <c r="H80" s="138"/>
      <c r="I80" s="138"/>
      <c r="J80" s="138"/>
      <c r="K80" s="138"/>
      <c r="L80" s="138"/>
      <c r="M80" s="138"/>
      <c r="N80" s="138"/>
      <c r="O80" s="138"/>
      <c r="P80" s="138"/>
    </row>
    <row r="81">
      <c r="A81" s="138"/>
      <c r="B81" s="138"/>
      <c r="C81" s="138"/>
      <c r="D81" s="138"/>
      <c r="E81" s="138"/>
      <c r="F81" s="138"/>
      <c r="G81" s="138"/>
      <c r="H81" s="138"/>
      <c r="I81" s="138"/>
      <c r="J81" s="138"/>
      <c r="K81" s="138"/>
      <c r="L81" s="138"/>
      <c r="M81" s="138"/>
      <c r="N81" s="138"/>
      <c r="O81" s="138"/>
      <c r="P81" s="138"/>
    </row>
    <row r="82">
      <c r="A82" s="138"/>
      <c r="B82" s="138"/>
      <c r="C82" s="138"/>
      <c r="D82" s="138"/>
      <c r="E82" s="138"/>
      <c r="F82" s="138"/>
      <c r="G82" s="138"/>
      <c r="H82" s="138"/>
      <c r="I82" s="138"/>
      <c r="J82" s="138"/>
      <c r="K82" s="138"/>
      <c r="L82" s="138"/>
      <c r="M82" s="138"/>
      <c r="N82" s="138"/>
      <c r="O82" s="138"/>
      <c r="P82" s="138"/>
    </row>
    <row r="83">
      <c r="A83" s="138"/>
      <c r="B83" s="138"/>
      <c r="C83" s="138"/>
      <c r="D83" s="138"/>
      <c r="E83" s="138"/>
      <c r="F83" s="138"/>
      <c r="G83" s="138"/>
      <c r="H83" s="138"/>
      <c r="I83" s="138"/>
      <c r="J83" s="138"/>
      <c r="K83" s="138"/>
      <c r="L83" s="138"/>
      <c r="M83" s="138"/>
      <c r="N83" s="138"/>
      <c r="O83" s="138"/>
      <c r="P83" s="138"/>
    </row>
    <row r="84">
      <c r="A84" s="138"/>
      <c r="B84" s="138"/>
      <c r="C84" s="138"/>
      <c r="D84" s="138"/>
      <c r="E84" s="138"/>
      <c r="F84" s="138"/>
      <c r="G84" s="138"/>
      <c r="H84" s="138"/>
      <c r="I84" s="138"/>
      <c r="J84" s="138"/>
      <c r="K84" s="138"/>
      <c r="L84" s="138"/>
      <c r="M84" s="138"/>
      <c r="N84" s="138"/>
      <c r="O84" s="138"/>
      <c r="P84" s="138"/>
    </row>
    <row r="85">
      <c r="A85" s="138"/>
      <c r="B85" s="138"/>
      <c r="C85" s="138"/>
      <c r="D85" s="138"/>
      <c r="E85" s="138"/>
      <c r="F85" s="138"/>
      <c r="G85" s="138"/>
      <c r="H85" s="138"/>
      <c r="I85" s="138"/>
      <c r="J85" s="138"/>
      <c r="K85" s="138"/>
      <c r="L85" s="138"/>
      <c r="M85" s="138"/>
      <c r="N85" s="138"/>
      <c r="O85" s="138"/>
      <c r="P85" s="138"/>
    </row>
    <row r="86">
      <c r="A86" s="138"/>
      <c r="B86" s="138"/>
      <c r="C86" s="138"/>
      <c r="D86" s="138"/>
      <c r="E86" s="138"/>
      <c r="F86" s="138"/>
      <c r="G86" s="138"/>
      <c r="H86" s="138"/>
      <c r="I86" s="138"/>
      <c r="J86" s="138"/>
      <c r="K86" s="138"/>
      <c r="L86" s="138"/>
      <c r="M86" s="138"/>
      <c r="N86" s="138"/>
      <c r="O86" s="138"/>
      <c r="P86" s="138"/>
    </row>
    <row r="87">
      <c r="A87" s="138"/>
      <c r="B87" s="138"/>
      <c r="C87" s="138"/>
      <c r="D87" s="138"/>
      <c r="E87" s="138"/>
      <c r="F87" s="138"/>
      <c r="G87" s="138"/>
      <c r="H87" s="138"/>
      <c r="I87" s="138"/>
      <c r="J87" s="138"/>
      <c r="K87" s="138"/>
      <c r="L87" s="138"/>
      <c r="M87" s="138"/>
      <c r="N87" s="138"/>
      <c r="O87" s="138"/>
      <c r="P87" s="138"/>
    </row>
    <row r="88">
      <c r="A88" s="138"/>
      <c r="B88" s="138"/>
      <c r="C88" s="138"/>
      <c r="D88" s="138"/>
      <c r="E88" s="138"/>
      <c r="F88" s="138"/>
      <c r="G88" s="138"/>
      <c r="H88" s="138"/>
      <c r="I88" s="138"/>
      <c r="J88" s="138"/>
      <c r="K88" s="138"/>
      <c r="L88" s="138"/>
      <c r="M88" s="138"/>
      <c r="N88" s="138"/>
      <c r="O88" s="138"/>
      <c r="P88" s="138"/>
    </row>
    <row r="89">
      <c r="A89" s="138"/>
      <c r="B89" s="138"/>
      <c r="C89" s="138"/>
      <c r="D89" s="138"/>
      <c r="E89" s="138"/>
      <c r="F89" s="138"/>
      <c r="G89" s="138"/>
      <c r="H89" s="138"/>
      <c r="I89" s="138"/>
      <c r="J89" s="138"/>
      <c r="K89" s="138"/>
      <c r="L89" s="138"/>
      <c r="M89" s="138"/>
      <c r="N89" s="138"/>
      <c r="O89" s="138"/>
      <c r="P89" s="138"/>
    </row>
    <row r="90">
      <c r="A90" s="138"/>
      <c r="B90" s="138"/>
      <c r="C90" s="138"/>
      <c r="D90" s="138"/>
      <c r="E90" s="138"/>
      <c r="F90" s="138"/>
      <c r="G90" s="138"/>
      <c r="H90" s="138"/>
      <c r="I90" s="138"/>
      <c r="J90" s="138"/>
      <c r="K90" s="138"/>
      <c r="L90" s="138"/>
      <c r="M90" s="138"/>
      <c r="N90" s="138"/>
      <c r="O90" s="138"/>
      <c r="P90" s="138"/>
    </row>
    <row r="91">
      <c r="A91" s="138"/>
      <c r="B91" s="138"/>
      <c r="C91" s="138"/>
      <c r="D91" s="138"/>
      <c r="E91" s="138"/>
      <c r="F91" s="138"/>
      <c r="G91" s="138"/>
      <c r="H91" s="138"/>
      <c r="I91" s="138"/>
      <c r="J91" s="138"/>
      <c r="K91" s="138"/>
      <c r="L91" s="138"/>
      <c r="M91" s="138"/>
      <c r="N91" s="138"/>
      <c r="O91" s="138"/>
      <c r="P91" s="138"/>
    </row>
    <row r="92">
      <c r="A92" s="138"/>
      <c r="B92" s="138"/>
      <c r="C92" s="138"/>
      <c r="D92" s="138"/>
      <c r="E92" s="138"/>
      <c r="F92" s="138"/>
      <c r="G92" s="138"/>
      <c r="H92" s="138"/>
      <c r="I92" s="138"/>
      <c r="J92" s="138"/>
      <c r="K92" s="138"/>
      <c r="L92" s="138"/>
      <c r="M92" s="138"/>
      <c r="N92" s="138"/>
      <c r="O92" s="138"/>
      <c r="P92" s="138"/>
    </row>
    <row r="93">
      <c r="A93" s="138"/>
      <c r="B93" s="138"/>
      <c r="C93" s="138"/>
      <c r="D93" s="138"/>
      <c r="E93" s="138"/>
      <c r="F93" s="138"/>
      <c r="G93" s="138"/>
      <c r="H93" s="138"/>
      <c r="I93" s="138"/>
      <c r="J93" s="138"/>
      <c r="K93" s="138"/>
      <c r="L93" s="138"/>
      <c r="M93" s="138"/>
      <c r="N93" s="138"/>
      <c r="O93" s="138"/>
      <c r="P93" s="138"/>
    </row>
    <row r="94">
      <c r="A94" s="138"/>
      <c r="B94" s="138"/>
      <c r="C94" s="138"/>
      <c r="D94" s="138"/>
      <c r="E94" s="138"/>
      <c r="F94" s="138"/>
      <c r="G94" s="138"/>
      <c r="H94" s="138"/>
      <c r="I94" s="138"/>
      <c r="J94" s="138"/>
      <c r="K94" s="138"/>
      <c r="L94" s="138"/>
      <c r="M94" s="138"/>
      <c r="N94" s="138"/>
      <c r="O94" s="138"/>
      <c r="P94" s="138"/>
    </row>
    <row r="95">
      <c r="A95" s="138"/>
      <c r="B95" s="138"/>
      <c r="C95" s="138"/>
      <c r="D95" s="138"/>
      <c r="E95" s="138"/>
      <c r="F95" s="138"/>
      <c r="G95" s="138"/>
      <c r="H95" s="138"/>
      <c r="I95" s="138"/>
      <c r="J95" s="138"/>
      <c r="K95" s="138"/>
      <c r="L95" s="138"/>
      <c r="M95" s="138"/>
      <c r="N95" s="138"/>
      <c r="O95" s="138"/>
      <c r="P95" s="138"/>
    </row>
    <row r="96">
      <c r="A96" s="138"/>
      <c r="B96" s="138"/>
      <c r="C96" s="138"/>
      <c r="D96" s="138"/>
      <c r="E96" s="138"/>
      <c r="F96" s="138"/>
      <c r="G96" s="138"/>
      <c r="H96" s="138"/>
      <c r="I96" s="138"/>
      <c r="J96" s="138"/>
      <c r="K96" s="138"/>
      <c r="L96" s="138"/>
      <c r="M96" s="138"/>
      <c r="N96" s="138"/>
      <c r="O96" s="138"/>
      <c r="P96" s="138"/>
    </row>
    <row r="97">
      <c r="A97" s="138"/>
      <c r="B97" s="138"/>
      <c r="C97" s="138"/>
      <c r="D97" s="138"/>
      <c r="E97" s="138"/>
      <c r="F97" s="138"/>
      <c r="G97" s="138"/>
      <c r="H97" s="138"/>
      <c r="I97" s="138"/>
      <c r="J97" s="138"/>
      <c r="K97" s="138"/>
      <c r="L97" s="138"/>
      <c r="M97" s="138"/>
      <c r="N97" s="138"/>
      <c r="O97" s="138"/>
      <c r="P97" s="138"/>
    </row>
    <row r="98">
      <c r="A98" s="138"/>
      <c r="B98" s="138"/>
      <c r="C98" s="138"/>
      <c r="D98" s="138"/>
      <c r="E98" s="138"/>
      <c r="F98" s="138"/>
      <c r="G98" s="138"/>
      <c r="H98" s="138"/>
      <c r="I98" s="138"/>
      <c r="J98" s="138"/>
      <c r="K98" s="138"/>
      <c r="L98" s="138"/>
      <c r="M98" s="138"/>
      <c r="N98" s="138"/>
      <c r="O98" s="138"/>
      <c r="P98" s="138"/>
    </row>
    <row r="99">
      <c r="A99" s="138"/>
      <c r="B99" s="138"/>
      <c r="C99" s="138"/>
      <c r="D99" s="138"/>
      <c r="E99" s="138"/>
      <c r="F99" s="138"/>
      <c r="G99" s="138"/>
      <c r="H99" s="138"/>
      <c r="I99" s="138"/>
      <c r="J99" s="138"/>
      <c r="K99" s="138"/>
      <c r="L99" s="138"/>
      <c r="M99" s="138"/>
      <c r="N99" s="138"/>
      <c r="O99" s="138"/>
      <c r="P99" s="138"/>
    </row>
    <row r="100">
      <c r="A100" s="138"/>
      <c r="B100" s="138"/>
      <c r="C100" s="138"/>
      <c r="D100" s="138"/>
      <c r="E100" s="138"/>
      <c r="F100" s="138"/>
      <c r="G100" s="138"/>
      <c r="H100" s="138"/>
      <c r="I100" s="138"/>
      <c r="J100" s="138"/>
      <c r="K100" s="138"/>
      <c r="L100" s="138"/>
      <c r="M100" s="138"/>
      <c r="N100" s="138"/>
      <c r="O100" s="138"/>
      <c r="P100" s="138"/>
    </row>
    <row r="101">
      <c r="A101" s="138"/>
      <c r="B101" s="138"/>
      <c r="C101" s="138"/>
      <c r="D101" s="138"/>
      <c r="E101" s="138"/>
      <c r="F101" s="138"/>
      <c r="G101" s="138"/>
      <c r="H101" s="138"/>
      <c r="I101" s="138"/>
      <c r="J101" s="138"/>
      <c r="K101" s="138"/>
      <c r="L101" s="138"/>
      <c r="M101" s="138"/>
      <c r="N101" s="138"/>
      <c r="O101" s="138"/>
      <c r="P101" s="138"/>
    </row>
    <row r="102">
      <c r="A102" s="138"/>
      <c r="B102" s="138"/>
      <c r="C102" s="138"/>
      <c r="D102" s="138"/>
      <c r="E102" s="138"/>
      <c r="F102" s="138"/>
      <c r="G102" s="138"/>
      <c r="H102" s="138"/>
      <c r="I102" s="138"/>
      <c r="J102" s="138"/>
      <c r="K102" s="138"/>
      <c r="L102" s="138"/>
      <c r="M102" s="138"/>
      <c r="N102" s="138"/>
      <c r="O102" s="138"/>
      <c r="P102" s="138"/>
    </row>
    <row r="103">
      <c r="A103" s="138"/>
      <c r="B103" s="138"/>
      <c r="C103" s="138"/>
      <c r="D103" s="138"/>
      <c r="E103" s="138"/>
      <c r="F103" s="138"/>
      <c r="G103" s="138"/>
      <c r="H103" s="138"/>
      <c r="I103" s="138"/>
      <c r="J103" s="138"/>
      <c r="K103" s="138"/>
      <c r="L103" s="138"/>
      <c r="M103" s="138"/>
      <c r="N103" s="138"/>
      <c r="O103" s="138"/>
      <c r="P103" s="138"/>
    </row>
    <row r="104">
      <c r="A104" s="138"/>
      <c r="B104" s="138"/>
      <c r="C104" s="138"/>
      <c r="D104" s="138"/>
      <c r="E104" s="138"/>
      <c r="F104" s="138"/>
      <c r="G104" s="138"/>
      <c r="H104" s="138"/>
      <c r="I104" s="138"/>
      <c r="J104" s="138"/>
      <c r="K104" s="138"/>
      <c r="L104" s="138"/>
      <c r="M104" s="138"/>
      <c r="N104" s="138"/>
      <c r="O104" s="138"/>
      <c r="P104" s="138"/>
    </row>
    <row r="105">
      <c r="A105" s="138"/>
      <c r="B105" s="138"/>
      <c r="C105" s="138"/>
      <c r="D105" s="138"/>
      <c r="E105" s="138"/>
      <c r="F105" s="138"/>
      <c r="G105" s="138"/>
      <c r="H105" s="138"/>
      <c r="I105" s="138"/>
      <c r="J105" s="138"/>
      <c r="K105" s="138"/>
      <c r="L105" s="138"/>
      <c r="M105" s="138"/>
      <c r="N105" s="138"/>
      <c r="O105" s="138"/>
      <c r="P105" s="138"/>
    </row>
    <row r="106">
      <c r="A106" s="138"/>
      <c r="B106" s="138"/>
      <c r="C106" s="138"/>
      <c r="D106" s="138"/>
      <c r="E106" s="138"/>
      <c r="F106" s="138"/>
      <c r="G106" s="138"/>
      <c r="H106" s="138"/>
      <c r="I106" s="138"/>
      <c r="J106" s="138"/>
      <c r="K106" s="138"/>
      <c r="L106" s="138"/>
      <c r="M106" s="138"/>
      <c r="N106" s="138"/>
      <c r="O106" s="138"/>
      <c r="P106" s="138"/>
    </row>
    <row r="107">
      <c r="A107" s="138"/>
      <c r="B107" s="138"/>
      <c r="C107" s="138"/>
      <c r="D107" s="138"/>
      <c r="E107" s="138"/>
      <c r="F107" s="138"/>
      <c r="G107" s="138"/>
      <c r="H107" s="138"/>
      <c r="I107" s="138"/>
      <c r="J107" s="138"/>
      <c r="K107" s="138"/>
      <c r="L107" s="138"/>
      <c r="M107" s="138"/>
      <c r="N107" s="138"/>
      <c r="O107" s="138"/>
      <c r="P107" s="138"/>
    </row>
    <row r="108">
      <c r="A108" s="138"/>
      <c r="B108" s="138"/>
      <c r="C108" s="138"/>
      <c r="D108" s="138"/>
      <c r="E108" s="138"/>
      <c r="F108" s="138"/>
      <c r="G108" s="138"/>
      <c r="H108" s="138"/>
      <c r="I108" s="138"/>
      <c r="J108" s="138"/>
      <c r="K108" s="138"/>
      <c r="L108" s="138"/>
      <c r="M108" s="138"/>
      <c r="N108" s="138"/>
      <c r="O108" s="138"/>
      <c r="P108" s="138"/>
    </row>
    <row r="109">
      <c r="A109" s="138"/>
      <c r="B109" s="138"/>
      <c r="C109" s="138"/>
      <c r="D109" s="138"/>
      <c r="E109" s="138"/>
      <c r="F109" s="138"/>
      <c r="G109" s="138"/>
      <c r="H109" s="138"/>
      <c r="I109" s="138"/>
      <c r="J109" s="138"/>
      <c r="K109" s="138"/>
      <c r="L109" s="138"/>
      <c r="M109" s="138"/>
      <c r="N109" s="138"/>
      <c r="O109" s="138"/>
      <c r="P109" s="138"/>
    </row>
    <row r="110">
      <c r="A110" s="138"/>
      <c r="B110" s="138"/>
      <c r="C110" s="138"/>
      <c r="D110" s="138"/>
      <c r="E110" s="138"/>
      <c r="F110" s="138"/>
      <c r="G110" s="138"/>
      <c r="H110" s="138"/>
      <c r="I110" s="138"/>
      <c r="J110" s="138"/>
      <c r="K110" s="138"/>
      <c r="L110" s="138"/>
      <c r="M110" s="138"/>
      <c r="N110" s="138"/>
      <c r="O110" s="138"/>
      <c r="P110" s="138"/>
    </row>
    <row r="111">
      <c r="A111" s="138"/>
      <c r="B111" s="138"/>
      <c r="C111" s="138"/>
      <c r="D111" s="138"/>
      <c r="E111" s="138"/>
      <c r="F111" s="138"/>
      <c r="G111" s="138"/>
      <c r="H111" s="138"/>
      <c r="I111" s="138"/>
      <c r="J111" s="138"/>
      <c r="K111" s="138"/>
      <c r="L111" s="138"/>
      <c r="M111" s="138"/>
      <c r="N111" s="138"/>
      <c r="O111" s="138"/>
      <c r="P111" s="138"/>
    </row>
    <row r="112">
      <c r="A112" s="138"/>
      <c r="B112" s="138"/>
      <c r="C112" s="138"/>
      <c r="D112" s="138"/>
      <c r="E112" s="138"/>
      <c r="F112" s="138"/>
      <c r="G112" s="138"/>
      <c r="H112" s="138"/>
      <c r="I112" s="138"/>
      <c r="J112" s="138"/>
      <c r="K112" s="138"/>
      <c r="L112" s="138"/>
      <c r="M112" s="138"/>
      <c r="N112" s="138"/>
      <c r="O112" s="138"/>
      <c r="P112" s="138"/>
    </row>
    <row r="113">
      <c r="A113" s="138"/>
      <c r="B113" s="138"/>
      <c r="C113" s="138"/>
      <c r="D113" s="138"/>
      <c r="E113" s="138"/>
      <c r="F113" s="138"/>
      <c r="G113" s="138"/>
      <c r="H113" s="138"/>
      <c r="I113" s="138"/>
      <c r="J113" s="138"/>
      <c r="K113" s="138"/>
      <c r="L113" s="138"/>
      <c r="M113" s="138"/>
      <c r="N113" s="138"/>
      <c r="O113" s="138"/>
      <c r="P113" s="138"/>
    </row>
    <row r="114">
      <c r="A114" s="138"/>
      <c r="B114" s="138"/>
      <c r="C114" s="138"/>
      <c r="D114" s="138"/>
      <c r="E114" s="138"/>
      <c r="F114" s="138"/>
      <c r="G114" s="138"/>
      <c r="H114" s="138"/>
      <c r="I114" s="138"/>
      <c r="J114" s="138"/>
      <c r="K114" s="138"/>
      <c r="L114" s="138"/>
      <c r="M114" s="138"/>
      <c r="N114" s="138"/>
      <c r="O114" s="138"/>
      <c r="P114" s="138"/>
    </row>
    <row r="115">
      <c r="A115" s="138"/>
      <c r="B115" s="138"/>
      <c r="C115" s="138"/>
      <c r="D115" s="138"/>
      <c r="E115" s="138"/>
      <c r="F115" s="138"/>
      <c r="G115" s="138"/>
      <c r="H115" s="138"/>
      <c r="I115" s="138"/>
      <c r="J115" s="138"/>
      <c r="K115" s="138"/>
      <c r="L115" s="138"/>
      <c r="M115" s="138"/>
      <c r="N115" s="138"/>
      <c r="O115" s="138"/>
      <c r="P115" s="138"/>
    </row>
    <row r="116">
      <c r="A116" s="138"/>
      <c r="B116" s="138"/>
      <c r="C116" s="138"/>
      <c r="D116" s="138"/>
      <c r="E116" s="138"/>
      <c r="F116" s="138"/>
      <c r="G116" s="138"/>
      <c r="H116" s="138"/>
      <c r="I116" s="138"/>
      <c r="J116" s="138"/>
      <c r="K116" s="138"/>
      <c r="L116" s="138"/>
      <c r="M116" s="138"/>
      <c r="N116" s="138"/>
      <c r="O116" s="138"/>
      <c r="P116" s="138"/>
    </row>
    <row r="117">
      <c r="A117" s="138"/>
      <c r="B117" s="138"/>
      <c r="C117" s="138"/>
      <c r="D117" s="138"/>
      <c r="E117" s="138"/>
      <c r="F117" s="138"/>
      <c r="G117" s="138"/>
      <c r="H117" s="138"/>
      <c r="I117" s="138"/>
      <c r="J117" s="138"/>
      <c r="K117" s="138"/>
      <c r="L117" s="138"/>
      <c r="M117" s="138"/>
      <c r="N117" s="138"/>
      <c r="O117" s="138"/>
      <c r="P117" s="138"/>
    </row>
    <row r="118">
      <c r="A118" s="138"/>
      <c r="B118" s="138"/>
      <c r="C118" s="138"/>
      <c r="D118" s="138"/>
      <c r="E118" s="138"/>
      <c r="F118" s="138"/>
      <c r="G118" s="138"/>
      <c r="H118" s="138"/>
      <c r="I118" s="138"/>
      <c r="J118" s="138"/>
      <c r="K118" s="138"/>
      <c r="L118" s="138"/>
      <c r="M118" s="138"/>
      <c r="N118" s="138"/>
      <c r="O118" s="138"/>
      <c r="P118" s="138"/>
    </row>
    <row r="119">
      <c r="A119" s="138"/>
      <c r="B119" s="138"/>
      <c r="C119" s="138"/>
      <c r="D119" s="138"/>
      <c r="E119" s="138"/>
      <c r="F119" s="138"/>
      <c r="G119" s="138"/>
      <c r="H119" s="138"/>
      <c r="I119" s="138"/>
      <c r="J119" s="138"/>
      <c r="K119" s="138"/>
      <c r="L119" s="138"/>
      <c r="M119" s="138"/>
      <c r="N119" s="138"/>
      <c r="O119" s="138"/>
      <c r="P119" s="138"/>
    </row>
    <row r="120">
      <c r="A120" s="138"/>
      <c r="B120" s="138"/>
      <c r="C120" s="138"/>
      <c r="D120" s="138"/>
      <c r="E120" s="138"/>
      <c r="F120" s="138"/>
      <c r="G120" s="138"/>
      <c r="H120" s="138"/>
      <c r="I120" s="138"/>
      <c r="J120" s="138"/>
      <c r="K120" s="138"/>
      <c r="L120" s="138"/>
      <c r="M120" s="138"/>
      <c r="N120" s="138"/>
      <c r="O120" s="138"/>
      <c r="P120" s="138"/>
    </row>
    <row r="121">
      <c r="A121" s="138"/>
      <c r="B121" s="138"/>
      <c r="C121" s="138"/>
      <c r="D121" s="138"/>
      <c r="E121" s="138"/>
      <c r="F121" s="138"/>
      <c r="G121" s="138"/>
      <c r="H121" s="138"/>
      <c r="I121" s="138"/>
      <c r="J121" s="138"/>
      <c r="K121" s="138"/>
      <c r="L121" s="138"/>
      <c r="M121" s="138"/>
      <c r="N121" s="138"/>
      <c r="O121" s="138"/>
      <c r="P121" s="138"/>
    </row>
    <row r="122">
      <c r="A122" s="138"/>
      <c r="B122" s="138"/>
      <c r="C122" s="138"/>
      <c r="D122" s="138"/>
      <c r="E122" s="138"/>
      <c r="F122" s="138"/>
      <c r="G122" s="138"/>
      <c r="H122" s="138"/>
      <c r="I122" s="138"/>
      <c r="J122" s="138"/>
      <c r="K122" s="138"/>
      <c r="L122" s="138"/>
      <c r="M122" s="138"/>
      <c r="N122" s="138"/>
      <c r="O122" s="138"/>
      <c r="P122" s="138"/>
    </row>
    <row r="123">
      <c r="A123" s="138"/>
      <c r="B123" s="138"/>
      <c r="C123" s="138"/>
      <c r="D123" s="138"/>
      <c r="E123" s="138"/>
      <c r="F123" s="138"/>
      <c r="G123" s="138"/>
      <c r="H123" s="138"/>
      <c r="I123" s="138"/>
      <c r="J123" s="138"/>
      <c r="K123" s="138"/>
      <c r="L123" s="138"/>
      <c r="M123" s="138"/>
      <c r="N123" s="138"/>
      <c r="O123" s="138"/>
      <c r="P123" s="138"/>
    </row>
    <row r="124">
      <c r="A124" s="138"/>
      <c r="B124" s="138"/>
      <c r="C124" s="138"/>
      <c r="D124" s="138"/>
      <c r="E124" s="138"/>
      <c r="F124" s="138"/>
      <c r="G124" s="138"/>
      <c r="H124" s="138"/>
      <c r="I124" s="138"/>
      <c r="J124" s="138"/>
      <c r="K124" s="138"/>
      <c r="L124" s="138"/>
      <c r="M124" s="138"/>
      <c r="N124" s="138"/>
      <c r="O124" s="138"/>
      <c r="P124" s="138"/>
    </row>
    <row r="125">
      <c r="A125" s="138"/>
      <c r="B125" s="138"/>
      <c r="C125" s="138"/>
      <c r="D125" s="138"/>
      <c r="E125" s="138"/>
      <c r="F125" s="138"/>
      <c r="G125" s="138"/>
      <c r="H125" s="138"/>
      <c r="I125" s="138"/>
      <c r="J125" s="138"/>
      <c r="K125" s="138"/>
      <c r="L125" s="138"/>
      <c r="M125" s="138"/>
      <c r="N125" s="138"/>
      <c r="O125" s="138"/>
      <c r="P125" s="138"/>
    </row>
    <row r="126">
      <c r="A126" s="138"/>
      <c r="B126" s="138"/>
      <c r="C126" s="138"/>
      <c r="D126" s="138"/>
      <c r="E126" s="138"/>
      <c r="F126" s="138"/>
      <c r="G126" s="138"/>
      <c r="H126" s="138"/>
      <c r="I126" s="138"/>
      <c r="J126" s="138"/>
      <c r="K126" s="138"/>
      <c r="L126" s="138"/>
      <c r="M126" s="138"/>
      <c r="N126" s="138"/>
      <c r="O126" s="138"/>
      <c r="P126" s="138"/>
    </row>
    <row r="127">
      <c r="A127" s="138"/>
      <c r="B127" s="138"/>
      <c r="C127" s="138"/>
      <c r="D127" s="138"/>
      <c r="E127" s="138"/>
      <c r="F127" s="138"/>
      <c r="G127" s="138"/>
      <c r="H127" s="138"/>
      <c r="I127" s="138"/>
      <c r="J127" s="138"/>
      <c r="K127" s="138"/>
      <c r="L127" s="138"/>
      <c r="M127" s="138"/>
      <c r="N127" s="138"/>
      <c r="O127" s="138"/>
      <c r="P127" s="138"/>
    </row>
    <row r="128">
      <c r="A128" s="138"/>
      <c r="B128" s="138"/>
      <c r="C128" s="138"/>
      <c r="D128" s="138"/>
      <c r="E128" s="138"/>
      <c r="F128" s="138"/>
      <c r="G128" s="138"/>
      <c r="H128" s="138"/>
      <c r="I128" s="138"/>
      <c r="J128" s="138"/>
      <c r="K128" s="138"/>
      <c r="L128" s="138"/>
      <c r="M128" s="138"/>
      <c r="N128" s="138"/>
      <c r="O128" s="138"/>
      <c r="P128" s="138"/>
    </row>
    <row r="129">
      <c r="A129" s="138"/>
      <c r="B129" s="138"/>
      <c r="C129" s="138"/>
      <c r="D129" s="138"/>
      <c r="E129" s="138"/>
      <c r="F129" s="138"/>
      <c r="G129" s="138"/>
      <c r="H129" s="138"/>
      <c r="I129" s="138"/>
      <c r="J129" s="138"/>
      <c r="K129" s="138"/>
      <c r="L129" s="138"/>
      <c r="M129" s="138"/>
      <c r="N129" s="138"/>
      <c r="O129" s="138"/>
      <c r="P129" s="138"/>
    </row>
    <row r="130">
      <c r="A130" s="138"/>
      <c r="B130" s="138"/>
      <c r="C130" s="138"/>
      <c r="D130" s="138"/>
      <c r="E130" s="138"/>
      <c r="F130" s="138"/>
      <c r="G130" s="138"/>
      <c r="H130" s="138"/>
      <c r="I130" s="138"/>
      <c r="J130" s="138"/>
      <c r="K130" s="138"/>
      <c r="L130" s="138"/>
      <c r="M130" s="138"/>
      <c r="N130" s="138"/>
      <c r="O130" s="138"/>
      <c r="P130" s="138"/>
    </row>
    <row r="131">
      <c r="A131" s="138"/>
      <c r="B131" s="138"/>
      <c r="C131" s="138"/>
      <c r="D131" s="138"/>
      <c r="E131" s="138"/>
      <c r="F131" s="138"/>
      <c r="G131" s="138"/>
      <c r="H131" s="138"/>
      <c r="I131" s="138"/>
      <c r="J131" s="138"/>
      <c r="K131" s="138"/>
      <c r="L131" s="138"/>
      <c r="M131" s="138"/>
      <c r="N131" s="138"/>
      <c r="O131" s="138"/>
      <c r="P131" s="138"/>
    </row>
    <row r="132">
      <c r="A132" s="138"/>
      <c r="B132" s="138"/>
      <c r="C132" s="138"/>
      <c r="D132" s="138"/>
      <c r="E132" s="138"/>
      <c r="F132" s="138"/>
      <c r="G132" s="138"/>
      <c r="H132" s="138"/>
      <c r="I132" s="138"/>
      <c r="J132" s="138"/>
      <c r="K132" s="138"/>
      <c r="L132" s="138"/>
      <c r="M132" s="138"/>
      <c r="N132" s="138"/>
      <c r="O132" s="138"/>
      <c r="P132" s="138"/>
    </row>
    <row r="133">
      <c r="A133" s="138"/>
      <c r="B133" s="138"/>
      <c r="C133" s="138"/>
      <c r="D133" s="138"/>
      <c r="E133" s="138"/>
      <c r="F133" s="138"/>
      <c r="G133" s="138"/>
      <c r="H133" s="138"/>
      <c r="I133" s="138"/>
      <c r="J133" s="138"/>
      <c r="K133" s="138"/>
      <c r="L133" s="138"/>
      <c r="M133" s="138"/>
      <c r="N133" s="138"/>
      <c r="O133" s="138"/>
      <c r="P133" s="138"/>
    </row>
    <row r="134">
      <c r="A134" s="138"/>
      <c r="B134" s="138"/>
      <c r="C134" s="138"/>
      <c r="D134" s="138"/>
      <c r="E134" s="138"/>
      <c r="F134" s="138"/>
      <c r="G134" s="138"/>
      <c r="H134" s="138"/>
      <c r="I134" s="138"/>
      <c r="J134" s="138"/>
      <c r="K134" s="138"/>
      <c r="L134" s="138"/>
      <c r="M134" s="138"/>
      <c r="N134" s="138"/>
      <c r="O134" s="138"/>
      <c r="P134" s="138"/>
    </row>
    <row r="135">
      <c r="A135" s="138"/>
      <c r="B135" s="138"/>
      <c r="C135" s="138"/>
      <c r="D135" s="138"/>
      <c r="E135" s="138"/>
      <c r="F135" s="138"/>
      <c r="G135" s="138"/>
      <c r="H135" s="138"/>
      <c r="I135" s="138"/>
      <c r="J135" s="138"/>
      <c r="K135" s="138"/>
      <c r="L135" s="138"/>
      <c r="M135" s="138"/>
      <c r="N135" s="138"/>
      <c r="O135" s="138"/>
      <c r="P135" s="138"/>
    </row>
    <row r="136">
      <c r="A136" s="138"/>
      <c r="B136" s="138"/>
      <c r="C136" s="138"/>
      <c r="D136" s="138"/>
      <c r="E136" s="138"/>
      <c r="F136" s="138"/>
      <c r="G136" s="138"/>
      <c r="H136" s="138"/>
      <c r="I136" s="138"/>
      <c r="J136" s="138"/>
      <c r="K136" s="138"/>
      <c r="L136" s="138"/>
      <c r="M136" s="138"/>
      <c r="N136" s="138"/>
      <c r="O136" s="138"/>
      <c r="P136" s="138"/>
    </row>
    <row r="137">
      <c r="A137" s="138"/>
      <c r="B137" s="138"/>
      <c r="C137" s="138"/>
      <c r="D137" s="138"/>
      <c r="E137" s="138"/>
      <c r="F137" s="138"/>
      <c r="G137" s="138"/>
      <c r="H137" s="138"/>
      <c r="I137" s="138"/>
      <c r="J137" s="138"/>
      <c r="K137" s="138"/>
      <c r="L137" s="138"/>
      <c r="M137" s="138"/>
      <c r="N137" s="138"/>
      <c r="O137" s="138"/>
      <c r="P137" s="138"/>
    </row>
    <row r="138">
      <c r="A138" s="138"/>
      <c r="B138" s="138"/>
      <c r="C138" s="138"/>
      <c r="D138" s="138"/>
      <c r="E138" s="138"/>
      <c r="F138" s="138"/>
      <c r="G138" s="138"/>
      <c r="H138" s="138"/>
      <c r="I138" s="138"/>
      <c r="J138" s="138"/>
      <c r="K138" s="138"/>
      <c r="L138" s="138"/>
      <c r="M138" s="138"/>
      <c r="N138" s="138"/>
      <c r="O138" s="138"/>
      <c r="P138" s="138"/>
    </row>
    <row r="139">
      <c r="A139" s="138"/>
      <c r="B139" s="138"/>
      <c r="C139" s="138"/>
      <c r="D139" s="138"/>
      <c r="E139" s="138"/>
      <c r="F139" s="138"/>
      <c r="G139" s="138"/>
      <c r="H139" s="138"/>
      <c r="I139" s="138"/>
      <c r="J139" s="138"/>
      <c r="K139" s="138"/>
      <c r="L139" s="138"/>
      <c r="M139" s="138"/>
      <c r="N139" s="138"/>
      <c r="O139" s="138"/>
      <c r="P139" s="138"/>
    </row>
    <row r="140">
      <c r="A140" s="138"/>
      <c r="B140" s="138"/>
      <c r="C140" s="138"/>
      <c r="D140" s="138"/>
      <c r="E140" s="138"/>
      <c r="F140" s="138"/>
      <c r="G140" s="138"/>
      <c r="H140" s="138"/>
      <c r="I140" s="138"/>
      <c r="J140" s="138"/>
      <c r="K140" s="138"/>
      <c r="L140" s="138"/>
      <c r="M140" s="138"/>
      <c r="N140" s="138"/>
      <c r="O140" s="138"/>
      <c r="P140" s="138"/>
    </row>
    <row r="141">
      <c r="A141" s="138"/>
      <c r="B141" s="138"/>
      <c r="C141" s="138"/>
      <c r="D141" s="138"/>
      <c r="E141" s="138"/>
      <c r="F141" s="138"/>
      <c r="G141" s="138"/>
      <c r="H141" s="138"/>
      <c r="I141" s="138"/>
      <c r="J141" s="138"/>
      <c r="K141" s="138"/>
      <c r="L141" s="138"/>
      <c r="M141" s="138"/>
      <c r="N141" s="138"/>
      <c r="O141" s="138"/>
      <c r="P141" s="138"/>
    </row>
    <row r="142">
      <c r="A142" s="138"/>
      <c r="B142" s="138"/>
      <c r="C142" s="138"/>
      <c r="D142" s="138"/>
      <c r="E142" s="138"/>
      <c r="F142" s="138"/>
      <c r="G142" s="138"/>
      <c r="H142" s="138"/>
      <c r="I142" s="138"/>
      <c r="J142" s="138"/>
      <c r="K142" s="138"/>
      <c r="L142" s="138"/>
      <c r="M142" s="138"/>
      <c r="N142" s="138"/>
      <c r="O142" s="138"/>
      <c r="P142" s="138"/>
    </row>
    <row r="143">
      <c r="A143" s="138"/>
      <c r="B143" s="138"/>
      <c r="C143" s="138"/>
      <c r="D143" s="138"/>
      <c r="E143" s="138"/>
      <c r="F143" s="138"/>
      <c r="G143" s="138"/>
      <c r="H143" s="138"/>
      <c r="I143" s="138"/>
      <c r="J143" s="138"/>
      <c r="K143" s="138"/>
      <c r="L143" s="138"/>
      <c r="M143" s="138"/>
      <c r="N143" s="138"/>
      <c r="O143" s="138"/>
      <c r="P143" s="138"/>
    </row>
    <row r="144">
      <c r="A144" s="138"/>
      <c r="B144" s="138"/>
      <c r="C144" s="138"/>
      <c r="D144" s="138"/>
      <c r="E144" s="138"/>
      <c r="F144" s="138"/>
      <c r="G144" s="138"/>
      <c r="H144" s="138"/>
      <c r="I144" s="138"/>
      <c r="J144" s="138"/>
      <c r="K144" s="138"/>
      <c r="L144" s="138"/>
      <c r="M144" s="138"/>
      <c r="N144" s="138"/>
      <c r="O144" s="138"/>
      <c r="P144" s="138"/>
    </row>
    <row r="145">
      <c r="A145" s="138"/>
      <c r="B145" s="138"/>
      <c r="C145" s="138"/>
      <c r="D145" s="138"/>
      <c r="E145" s="138"/>
      <c r="F145" s="138"/>
      <c r="G145" s="138"/>
      <c r="H145" s="138"/>
      <c r="I145" s="138"/>
      <c r="J145" s="138"/>
      <c r="K145" s="138"/>
      <c r="L145" s="138"/>
      <c r="M145" s="138"/>
      <c r="N145" s="138"/>
      <c r="O145" s="138"/>
      <c r="P145" s="138"/>
    </row>
    <row r="146">
      <c r="A146" s="138"/>
      <c r="B146" s="138"/>
      <c r="C146" s="138"/>
      <c r="D146" s="138"/>
      <c r="E146" s="138"/>
      <c r="F146" s="138"/>
      <c r="G146" s="138"/>
      <c r="H146" s="138"/>
      <c r="I146" s="138"/>
      <c r="J146" s="138"/>
      <c r="K146" s="138"/>
      <c r="L146" s="138"/>
      <c r="M146" s="138"/>
      <c r="N146" s="138"/>
      <c r="O146" s="138"/>
      <c r="P146" s="138"/>
    </row>
    <row r="147">
      <c r="A147" s="138"/>
      <c r="B147" s="138"/>
      <c r="C147" s="138"/>
      <c r="D147" s="138"/>
      <c r="E147" s="138"/>
      <c r="F147" s="138"/>
      <c r="G147" s="138"/>
      <c r="H147" s="138"/>
      <c r="I147" s="138"/>
      <c r="J147" s="138"/>
      <c r="K147" s="138"/>
      <c r="L147" s="138"/>
      <c r="M147" s="138"/>
      <c r="N147" s="138"/>
      <c r="O147" s="138"/>
      <c r="P147" s="138"/>
    </row>
    <row r="148">
      <c r="A148" s="138"/>
      <c r="B148" s="138"/>
      <c r="C148" s="138"/>
      <c r="D148" s="138"/>
      <c r="E148" s="138"/>
      <c r="F148" s="138"/>
      <c r="G148" s="138"/>
      <c r="H148" s="138"/>
      <c r="I148" s="138"/>
      <c r="J148" s="138"/>
      <c r="K148" s="138"/>
      <c r="L148" s="138"/>
      <c r="M148" s="138"/>
      <c r="N148" s="138"/>
      <c r="O148" s="138"/>
      <c r="P148" s="138"/>
    </row>
    <row r="149">
      <c r="A149" s="138"/>
      <c r="B149" s="138"/>
      <c r="C149" s="138"/>
      <c r="D149" s="138"/>
      <c r="E149" s="138"/>
      <c r="F149" s="138"/>
      <c r="G149" s="138"/>
      <c r="H149" s="138"/>
      <c r="I149" s="138"/>
      <c r="J149" s="138"/>
      <c r="K149" s="138"/>
      <c r="L149" s="138"/>
      <c r="M149" s="138"/>
      <c r="N149" s="138"/>
      <c r="O149" s="138"/>
      <c r="P149" s="138"/>
    </row>
    <row r="150">
      <c r="A150" s="138"/>
      <c r="B150" s="138"/>
      <c r="C150" s="138"/>
      <c r="D150" s="138"/>
      <c r="E150" s="138"/>
      <c r="F150" s="138"/>
      <c r="G150" s="138"/>
      <c r="H150" s="138"/>
      <c r="I150" s="138"/>
      <c r="J150" s="138"/>
      <c r="K150" s="138"/>
      <c r="L150" s="138"/>
      <c r="M150" s="138"/>
      <c r="N150" s="138"/>
      <c r="O150" s="138"/>
      <c r="P150" s="138"/>
    </row>
    <row r="151">
      <c r="A151" s="138"/>
      <c r="B151" s="138"/>
      <c r="C151" s="138"/>
      <c r="D151" s="138"/>
      <c r="E151" s="138"/>
      <c r="F151" s="138"/>
      <c r="G151" s="138"/>
      <c r="H151" s="138"/>
      <c r="I151" s="138"/>
      <c r="J151" s="138"/>
      <c r="K151" s="138"/>
      <c r="L151" s="138"/>
      <c r="M151" s="138"/>
      <c r="N151" s="138"/>
      <c r="O151" s="138"/>
      <c r="P151" s="138"/>
    </row>
    <row r="152">
      <c r="A152" s="138"/>
      <c r="B152" s="138"/>
      <c r="C152" s="138"/>
      <c r="D152" s="138"/>
      <c r="E152" s="138"/>
      <c r="F152" s="138"/>
      <c r="G152" s="138"/>
      <c r="H152" s="138"/>
      <c r="I152" s="138"/>
      <c r="J152" s="138"/>
      <c r="K152" s="138"/>
      <c r="L152" s="138"/>
      <c r="M152" s="138"/>
      <c r="N152" s="138"/>
      <c r="O152" s="138"/>
      <c r="P152" s="138"/>
    </row>
    <row r="153">
      <c r="A153" s="138"/>
      <c r="B153" s="138"/>
      <c r="C153" s="138"/>
      <c r="D153" s="138"/>
      <c r="E153" s="138"/>
      <c r="F153" s="138"/>
      <c r="G153" s="138"/>
      <c r="H153" s="138"/>
      <c r="I153" s="138"/>
      <c r="J153" s="138"/>
      <c r="K153" s="138"/>
      <c r="L153" s="138"/>
      <c r="M153" s="138"/>
      <c r="N153" s="138"/>
      <c r="O153" s="138"/>
      <c r="P153" s="138"/>
    </row>
    <row r="154">
      <c r="A154" s="138"/>
      <c r="B154" s="138"/>
      <c r="C154" s="138"/>
      <c r="D154" s="138"/>
      <c r="E154" s="138"/>
      <c r="F154" s="138"/>
      <c r="G154" s="138"/>
      <c r="H154" s="138"/>
      <c r="I154" s="138"/>
      <c r="J154" s="138"/>
      <c r="K154" s="138"/>
      <c r="L154" s="138"/>
      <c r="M154" s="138"/>
      <c r="N154" s="138"/>
      <c r="O154" s="138"/>
      <c r="P154" s="138"/>
    </row>
    <row r="155">
      <c r="A155" s="138"/>
      <c r="B155" s="138"/>
      <c r="C155" s="138"/>
      <c r="D155" s="138"/>
      <c r="E155" s="138"/>
      <c r="F155" s="138"/>
      <c r="G155" s="138"/>
      <c r="H155" s="138"/>
      <c r="I155" s="138"/>
      <c r="J155" s="138"/>
      <c r="K155" s="138"/>
      <c r="L155" s="138"/>
      <c r="M155" s="138"/>
      <c r="N155" s="138"/>
      <c r="O155" s="138"/>
      <c r="P155" s="138"/>
    </row>
    <row r="156">
      <c r="A156" s="138"/>
      <c r="B156" s="138"/>
      <c r="C156" s="138"/>
      <c r="D156" s="138"/>
      <c r="E156" s="138"/>
      <c r="F156" s="138"/>
      <c r="G156" s="138"/>
      <c r="H156" s="138"/>
      <c r="I156" s="138"/>
      <c r="J156" s="138"/>
      <c r="K156" s="138"/>
      <c r="L156" s="138"/>
      <c r="M156" s="138"/>
      <c r="N156" s="138"/>
      <c r="O156" s="138"/>
      <c r="P156" s="138"/>
    </row>
    <row r="157">
      <c r="A157" s="138"/>
      <c r="B157" s="138"/>
      <c r="C157" s="138"/>
      <c r="D157" s="138"/>
      <c r="E157" s="138"/>
      <c r="F157" s="138"/>
      <c r="G157" s="138"/>
      <c r="H157" s="138"/>
      <c r="I157" s="138"/>
      <c r="J157" s="138"/>
      <c r="K157" s="138"/>
      <c r="L157" s="138"/>
      <c r="M157" s="138"/>
      <c r="N157" s="138"/>
      <c r="O157" s="138"/>
      <c r="P157" s="138"/>
    </row>
    <row r="158">
      <c r="A158" s="138"/>
      <c r="B158" s="138"/>
      <c r="C158" s="138"/>
      <c r="D158" s="138"/>
      <c r="E158" s="138"/>
      <c r="F158" s="138"/>
      <c r="G158" s="138"/>
      <c r="H158" s="138"/>
      <c r="I158" s="138"/>
      <c r="J158" s="138"/>
      <c r="K158" s="138"/>
      <c r="L158" s="138"/>
      <c r="M158" s="138"/>
      <c r="N158" s="138"/>
      <c r="O158" s="138"/>
      <c r="P158" s="138"/>
    </row>
    <row r="159">
      <c r="A159" s="138"/>
      <c r="B159" s="138"/>
      <c r="C159" s="138"/>
      <c r="D159" s="138"/>
      <c r="E159" s="138"/>
      <c r="F159" s="138"/>
      <c r="G159" s="138"/>
      <c r="H159" s="138"/>
      <c r="I159" s="138"/>
      <c r="J159" s="138"/>
      <c r="K159" s="138"/>
      <c r="L159" s="138"/>
      <c r="M159" s="138"/>
      <c r="N159" s="138"/>
      <c r="O159" s="138"/>
      <c r="P159" s="138"/>
    </row>
    <row r="160">
      <c r="A160" s="138"/>
      <c r="B160" s="138"/>
      <c r="C160" s="138"/>
      <c r="D160" s="138"/>
      <c r="E160" s="138"/>
      <c r="F160" s="138"/>
      <c r="G160" s="138"/>
      <c r="H160" s="138"/>
      <c r="I160" s="138"/>
      <c r="J160" s="138"/>
      <c r="K160" s="138"/>
      <c r="L160" s="138"/>
      <c r="M160" s="138"/>
      <c r="N160" s="138"/>
      <c r="O160" s="138"/>
      <c r="P160" s="138"/>
    </row>
    <row r="161">
      <c r="A161" s="138"/>
      <c r="B161" s="138"/>
      <c r="C161" s="138"/>
      <c r="D161" s="138"/>
      <c r="E161" s="138"/>
      <c r="F161" s="138"/>
      <c r="G161" s="138"/>
      <c r="H161" s="138"/>
      <c r="I161" s="138"/>
      <c r="J161" s="138"/>
      <c r="K161" s="138"/>
      <c r="L161" s="138"/>
      <c r="M161" s="138"/>
      <c r="N161" s="138"/>
      <c r="O161" s="138"/>
      <c r="P161" s="138"/>
    </row>
    <row r="162">
      <c r="A162" s="138"/>
      <c r="B162" s="138"/>
      <c r="C162" s="138"/>
      <c r="D162" s="138"/>
      <c r="E162" s="138"/>
      <c r="F162" s="138"/>
      <c r="G162" s="138"/>
      <c r="H162" s="138"/>
      <c r="I162" s="138"/>
      <c r="J162" s="138"/>
      <c r="K162" s="138"/>
      <c r="L162" s="138"/>
      <c r="M162" s="138"/>
      <c r="N162" s="138"/>
      <c r="O162" s="138"/>
      <c r="P162" s="138"/>
    </row>
    <row r="163">
      <c r="A163" s="138"/>
      <c r="B163" s="138"/>
      <c r="C163" s="138"/>
      <c r="D163" s="138"/>
      <c r="E163" s="138"/>
      <c r="F163" s="138"/>
      <c r="G163" s="138"/>
      <c r="H163" s="138"/>
      <c r="I163" s="138"/>
      <c r="J163" s="138"/>
      <c r="K163" s="138"/>
      <c r="L163" s="138"/>
      <c r="M163" s="138"/>
      <c r="N163" s="138"/>
      <c r="O163" s="138"/>
      <c r="P163" s="138"/>
    </row>
    <row r="164">
      <c r="A164" s="138"/>
      <c r="B164" s="138"/>
      <c r="C164" s="138"/>
      <c r="D164" s="138"/>
      <c r="E164" s="138"/>
      <c r="F164" s="138"/>
      <c r="G164" s="138"/>
      <c r="H164" s="138"/>
      <c r="I164" s="138"/>
      <c r="J164" s="138"/>
      <c r="K164" s="138"/>
      <c r="L164" s="138"/>
      <c r="M164" s="138"/>
      <c r="N164" s="138"/>
      <c r="O164" s="138"/>
      <c r="P164" s="138"/>
    </row>
    <row r="165">
      <c r="A165" s="138"/>
      <c r="B165" s="138"/>
      <c r="C165" s="138"/>
      <c r="D165" s="138"/>
      <c r="E165" s="138"/>
      <c r="F165" s="138"/>
      <c r="G165" s="138"/>
      <c r="H165" s="138"/>
      <c r="I165" s="138"/>
      <c r="J165" s="138"/>
      <c r="K165" s="138"/>
      <c r="L165" s="138"/>
      <c r="M165" s="138"/>
      <c r="N165" s="138"/>
      <c r="O165" s="138"/>
      <c r="P165" s="138"/>
    </row>
    <row r="166">
      <c r="A166" s="138"/>
      <c r="B166" s="138"/>
      <c r="C166" s="138"/>
      <c r="D166" s="138"/>
      <c r="E166" s="138"/>
      <c r="F166" s="138"/>
      <c r="G166" s="138"/>
      <c r="H166" s="138"/>
      <c r="I166" s="138"/>
      <c r="J166" s="138"/>
      <c r="K166" s="138"/>
      <c r="L166" s="138"/>
      <c r="M166" s="138"/>
      <c r="N166" s="138"/>
      <c r="O166" s="138"/>
      <c r="P166" s="138"/>
    </row>
    <row r="167">
      <c r="A167" s="138"/>
      <c r="B167" s="138"/>
      <c r="C167" s="138"/>
      <c r="D167" s="138"/>
      <c r="E167" s="138"/>
      <c r="F167" s="138"/>
      <c r="G167" s="138"/>
      <c r="H167" s="138"/>
      <c r="I167" s="138"/>
      <c r="J167" s="138"/>
      <c r="K167" s="138"/>
      <c r="L167" s="138"/>
      <c r="M167" s="138"/>
      <c r="N167" s="138"/>
      <c r="O167" s="138"/>
      <c r="P167" s="138"/>
    </row>
    <row r="168">
      <c r="A168" s="138"/>
      <c r="B168" s="138"/>
      <c r="C168" s="138"/>
      <c r="D168" s="138"/>
      <c r="E168" s="138"/>
      <c r="F168" s="138"/>
      <c r="G168" s="138"/>
      <c r="H168" s="138"/>
      <c r="I168" s="138"/>
      <c r="J168" s="138"/>
      <c r="K168" s="138"/>
      <c r="L168" s="138"/>
      <c r="M168" s="138"/>
      <c r="N168" s="138"/>
      <c r="O168" s="138"/>
      <c r="P168" s="138"/>
    </row>
    <row r="169">
      <c r="A169" s="138"/>
      <c r="B169" s="138"/>
      <c r="C169" s="138"/>
      <c r="D169" s="138"/>
      <c r="E169" s="138"/>
      <c r="F169" s="138"/>
      <c r="G169" s="138"/>
      <c r="H169" s="138"/>
      <c r="I169" s="138"/>
      <c r="J169" s="138"/>
      <c r="K169" s="138"/>
      <c r="L169" s="138"/>
      <c r="M169" s="138"/>
      <c r="N169" s="138"/>
      <c r="O169" s="138"/>
      <c r="P169" s="138"/>
    </row>
    <row r="170">
      <c r="A170" s="138"/>
      <c r="B170" s="138"/>
      <c r="C170" s="138"/>
      <c r="D170" s="138"/>
      <c r="E170" s="138"/>
      <c r="F170" s="138"/>
      <c r="G170" s="138"/>
      <c r="H170" s="138"/>
      <c r="I170" s="138"/>
      <c r="J170" s="138"/>
      <c r="K170" s="138"/>
      <c r="L170" s="138"/>
      <c r="M170" s="138"/>
      <c r="N170" s="138"/>
      <c r="O170" s="138"/>
      <c r="P170" s="138"/>
    </row>
    <row r="171">
      <c r="A171" s="138"/>
      <c r="B171" s="138"/>
      <c r="C171" s="138"/>
      <c r="D171" s="138"/>
      <c r="E171" s="138"/>
      <c r="F171" s="138"/>
      <c r="G171" s="138"/>
      <c r="H171" s="138"/>
      <c r="I171" s="138"/>
      <c r="J171" s="138"/>
      <c r="K171" s="138"/>
      <c r="L171" s="138"/>
      <c r="M171" s="138"/>
      <c r="N171" s="138"/>
      <c r="O171" s="138"/>
      <c r="P171" s="138"/>
    </row>
    <row r="172">
      <c r="A172" s="138"/>
      <c r="B172" s="138"/>
      <c r="C172" s="138"/>
      <c r="D172" s="138"/>
      <c r="E172" s="138"/>
      <c r="F172" s="138"/>
      <c r="G172" s="138"/>
      <c r="H172" s="138"/>
      <c r="I172" s="138"/>
      <c r="J172" s="138"/>
      <c r="K172" s="138"/>
      <c r="L172" s="138"/>
      <c r="M172" s="138"/>
      <c r="N172" s="138"/>
      <c r="O172" s="138"/>
      <c r="P172" s="138"/>
    </row>
    <row r="173">
      <c r="A173" s="138"/>
      <c r="B173" s="138"/>
      <c r="C173" s="138"/>
      <c r="D173" s="138"/>
      <c r="E173" s="138"/>
      <c r="F173" s="138"/>
      <c r="G173" s="138"/>
      <c r="H173" s="138"/>
      <c r="I173" s="138"/>
      <c r="J173" s="138"/>
      <c r="K173" s="138"/>
      <c r="L173" s="138"/>
      <c r="M173" s="138"/>
      <c r="N173" s="138"/>
      <c r="O173" s="138"/>
      <c r="P173" s="138"/>
    </row>
    <row r="174">
      <c r="A174" s="138"/>
      <c r="B174" s="138"/>
      <c r="C174" s="138"/>
      <c r="D174" s="138"/>
      <c r="E174" s="138"/>
      <c r="F174" s="138"/>
      <c r="G174" s="138"/>
      <c r="H174" s="138"/>
      <c r="I174" s="138"/>
      <c r="J174" s="138"/>
      <c r="K174" s="138"/>
      <c r="L174" s="138"/>
      <c r="M174" s="138"/>
      <c r="N174" s="138"/>
      <c r="O174" s="138"/>
      <c r="P174" s="138"/>
    </row>
    <row r="175">
      <c r="A175" s="138"/>
      <c r="B175" s="138"/>
      <c r="C175" s="138"/>
      <c r="D175" s="138"/>
      <c r="E175" s="138"/>
      <c r="F175" s="138"/>
      <c r="G175" s="138"/>
      <c r="H175" s="138"/>
      <c r="I175" s="138"/>
      <c r="J175" s="138"/>
      <c r="K175" s="138"/>
      <c r="L175" s="138"/>
      <c r="M175" s="138"/>
      <c r="N175" s="138"/>
      <c r="O175" s="138"/>
      <c r="P175" s="138"/>
    </row>
    <row r="176">
      <c r="A176" s="138"/>
      <c r="B176" s="138"/>
      <c r="C176" s="138"/>
      <c r="D176" s="138"/>
      <c r="E176" s="138"/>
      <c r="F176" s="138"/>
      <c r="G176" s="138"/>
      <c r="H176" s="138"/>
      <c r="I176" s="138"/>
      <c r="J176" s="138"/>
      <c r="K176" s="138"/>
      <c r="L176" s="138"/>
      <c r="M176" s="138"/>
      <c r="N176" s="138"/>
      <c r="O176" s="138"/>
      <c r="P176" s="138"/>
    </row>
    <row r="177">
      <c r="A177" s="138"/>
      <c r="B177" s="138"/>
      <c r="C177" s="138"/>
      <c r="D177" s="138"/>
      <c r="E177" s="138"/>
      <c r="F177" s="138"/>
      <c r="G177" s="138"/>
      <c r="H177" s="138"/>
      <c r="I177" s="138"/>
      <c r="J177" s="138"/>
      <c r="K177" s="138"/>
      <c r="L177" s="138"/>
      <c r="M177" s="138"/>
      <c r="N177" s="138"/>
      <c r="O177" s="138"/>
      <c r="P177" s="138"/>
    </row>
    <row r="178">
      <c r="A178" s="138"/>
      <c r="B178" s="138"/>
      <c r="C178" s="138"/>
      <c r="D178" s="138"/>
      <c r="E178" s="138"/>
      <c r="F178" s="138"/>
      <c r="G178" s="138"/>
      <c r="H178" s="138"/>
      <c r="I178" s="138"/>
      <c r="J178" s="138"/>
      <c r="K178" s="138"/>
      <c r="L178" s="138"/>
      <c r="M178" s="138"/>
      <c r="N178" s="138"/>
      <c r="O178" s="138"/>
      <c r="P178" s="138"/>
    </row>
    <row r="179">
      <c r="A179" s="138"/>
      <c r="B179" s="138"/>
      <c r="C179" s="138"/>
      <c r="D179" s="138"/>
      <c r="E179" s="138"/>
      <c r="F179" s="138"/>
      <c r="G179" s="138"/>
      <c r="H179" s="138"/>
      <c r="I179" s="138"/>
      <c r="J179" s="138"/>
      <c r="K179" s="138"/>
      <c r="L179" s="138"/>
      <c r="M179" s="138"/>
      <c r="N179" s="138"/>
      <c r="O179" s="138"/>
      <c r="P179" s="138"/>
    </row>
    <row r="180">
      <c r="A180" s="138"/>
      <c r="B180" s="138"/>
      <c r="C180" s="138"/>
      <c r="D180" s="138"/>
      <c r="E180" s="138"/>
      <c r="F180" s="138"/>
      <c r="G180" s="138"/>
      <c r="H180" s="138"/>
      <c r="I180" s="138"/>
      <c r="J180" s="138"/>
      <c r="K180" s="138"/>
      <c r="L180" s="138"/>
      <c r="M180" s="138"/>
      <c r="N180" s="138"/>
      <c r="O180" s="138"/>
      <c r="P180" s="138"/>
    </row>
    <row r="181">
      <c r="A181" s="138"/>
      <c r="B181" s="138"/>
      <c r="C181" s="138"/>
      <c r="D181" s="138"/>
      <c r="E181" s="138"/>
      <c r="F181" s="138"/>
      <c r="G181" s="138"/>
      <c r="H181" s="138"/>
      <c r="I181" s="138"/>
      <c r="J181" s="138"/>
      <c r="K181" s="138"/>
      <c r="L181" s="138"/>
      <c r="M181" s="138"/>
      <c r="N181" s="138"/>
      <c r="O181" s="138"/>
      <c r="P181" s="138"/>
    </row>
    <row r="182">
      <c r="A182" s="138"/>
      <c r="B182" s="138"/>
      <c r="C182" s="138"/>
      <c r="D182" s="138"/>
      <c r="E182" s="138"/>
      <c r="F182" s="138"/>
      <c r="G182" s="138"/>
      <c r="H182" s="138"/>
      <c r="I182" s="138"/>
      <c r="J182" s="138"/>
      <c r="K182" s="138"/>
      <c r="L182" s="138"/>
      <c r="M182" s="138"/>
      <c r="N182" s="138"/>
      <c r="O182" s="138"/>
      <c r="P182" s="138"/>
    </row>
    <row r="183">
      <c r="A183" s="138"/>
      <c r="B183" s="138"/>
      <c r="C183" s="138"/>
      <c r="D183" s="138"/>
      <c r="E183" s="138"/>
      <c r="F183" s="138"/>
      <c r="G183" s="138"/>
      <c r="H183" s="138"/>
      <c r="I183" s="138"/>
      <c r="J183" s="138"/>
      <c r="K183" s="138"/>
      <c r="L183" s="138"/>
      <c r="M183" s="138"/>
      <c r="N183" s="138"/>
      <c r="O183" s="138"/>
      <c r="P183" s="138"/>
    </row>
    <row r="184">
      <c r="A184" s="138"/>
      <c r="B184" s="138"/>
      <c r="C184" s="138"/>
      <c r="D184" s="138"/>
      <c r="E184" s="138"/>
      <c r="F184" s="138"/>
      <c r="G184" s="138"/>
      <c r="H184" s="138"/>
      <c r="I184" s="138"/>
      <c r="J184" s="138"/>
      <c r="K184" s="138"/>
      <c r="L184" s="138"/>
      <c r="M184" s="138"/>
      <c r="N184" s="138"/>
      <c r="O184" s="138"/>
      <c r="P184" s="138"/>
    </row>
    <row r="185">
      <c r="A185" s="138"/>
      <c r="B185" s="138"/>
      <c r="C185" s="138"/>
      <c r="D185" s="138"/>
      <c r="E185" s="138"/>
      <c r="F185" s="138"/>
      <c r="G185" s="138"/>
      <c r="H185" s="138"/>
      <c r="I185" s="138"/>
      <c r="J185" s="138"/>
      <c r="K185" s="138"/>
      <c r="L185" s="138"/>
      <c r="M185" s="138"/>
      <c r="N185" s="138"/>
      <c r="O185" s="138"/>
      <c r="P185" s="138"/>
    </row>
    <row r="186">
      <c r="A186" s="138"/>
      <c r="B186" s="138"/>
      <c r="C186" s="138"/>
      <c r="D186" s="138"/>
      <c r="E186" s="138"/>
      <c r="F186" s="138"/>
      <c r="G186" s="138"/>
      <c r="H186" s="138"/>
      <c r="I186" s="138"/>
      <c r="J186" s="138"/>
      <c r="K186" s="138"/>
      <c r="L186" s="138"/>
      <c r="M186" s="138"/>
      <c r="N186" s="138"/>
      <c r="O186" s="138"/>
      <c r="P186" s="138"/>
    </row>
    <row r="187">
      <c r="A187" s="138"/>
      <c r="B187" s="138"/>
      <c r="C187" s="138"/>
      <c r="D187" s="138"/>
      <c r="E187" s="138"/>
      <c r="F187" s="138"/>
      <c r="G187" s="138"/>
      <c r="H187" s="138"/>
      <c r="I187" s="138"/>
      <c r="J187" s="138"/>
      <c r="K187" s="138"/>
      <c r="L187" s="138"/>
      <c r="M187" s="138"/>
      <c r="N187" s="138"/>
      <c r="O187" s="138"/>
      <c r="P187" s="138"/>
    </row>
    <row r="188">
      <c r="A188" s="138"/>
      <c r="B188" s="138"/>
      <c r="C188" s="138"/>
      <c r="D188" s="138"/>
      <c r="E188" s="138"/>
      <c r="F188" s="138"/>
      <c r="G188" s="138"/>
      <c r="H188" s="138"/>
      <c r="I188" s="138"/>
      <c r="J188" s="138"/>
      <c r="K188" s="138"/>
      <c r="L188" s="138"/>
      <c r="M188" s="138"/>
      <c r="N188" s="138"/>
      <c r="O188" s="138"/>
      <c r="P188" s="138"/>
    </row>
    <row r="189">
      <c r="A189" s="138"/>
      <c r="B189" s="138"/>
      <c r="C189" s="138"/>
      <c r="D189" s="138"/>
      <c r="E189" s="138"/>
      <c r="F189" s="138"/>
      <c r="G189" s="138"/>
      <c r="H189" s="138"/>
      <c r="I189" s="138"/>
      <c r="J189" s="138"/>
      <c r="K189" s="138"/>
      <c r="L189" s="138"/>
      <c r="M189" s="138"/>
      <c r="N189" s="138"/>
      <c r="O189" s="138"/>
      <c r="P189" s="138"/>
    </row>
    <row r="190">
      <c r="A190" s="138"/>
      <c r="B190" s="138"/>
      <c r="C190" s="138"/>
      <c r="D190" s="138"/>
      <c r="E190" s="138"/>
      <c r="F190" s="138"/>
      <c r="G190" s="138"/>
      <c r="H190" s="138"/>
      <c r="I190" s="138"/>
      <c r="J190" s="138"/>
      <c r="K190" s="138"/>
      <c r="L190" s="138"/>
      <c r="M190" s="138"/>
      <c r="N190" s="138"/>
      <c r="O190" s="138"/>
      <c r="P190" s="138"/>
    </row>
    <row r="191">
      <c r="A191" s="138"/>
      <c r="B191" s="138"/>
      <c r="C191" s="138"/>
      <c r="D191" s="138"/>
      <c r="E191" s="138"/>
      <c r="F191" s="138"/>
      <c r="G191" s="138"/>
      <c r="H191" s="138"/>
      <c r="I191" s="138"/>
      <c r="J191" s="138"/>
      <c r="K191" s="138"/>
      <c r="L191" s="138"/>
      <c r="M191" s="138"/>
      <c r="N191" s="138"/>
      <c r="O191" s="138"/>
      <c r="P191" s="138"/>
    </row>
    <row r="192">
      <c r="A192" s="138"/>
      <c r="B192" s="138"/>
      <c r="C192" s="138"/>
      <c r="D192" s="138"/>
      <c r="E192" s="138"/>
      <c r="F192" s="138"/>
      <c r="G192" s="138"/>
      <c r="H192" s="138"/>
      <c r="I192" s="138"/>
      <c r="J192" s="138"/>
      <c r="K192" s="138"/>
      <c r="L192" s="138"/>
      <c r="M192" s="138"/>
      <c r="N192" s="138"/>
      <c r="O192" s="138"/>
      <c r="P192" s="138"/>
    </row>
    <row r="193">
      <c r="A193" s="138"/>
      <c r="B193" s="138"/>
      <c r="C193" s="138"/>
      <c r="D193" s="138"/>
      <c r="E193" s="138"/>
      <c r="F193" s="138"/>
      <c r="G193" s="138"/>
      <c r="H193" s="138"/>
      <c r="I193" s="138"/>
      <c r="J193" s="138"/>
      <c r="K193" s="138"/>
      <c r="L193" s="138"/>
      <c r="M193" s="138"/>
      <c r="N193" s="138"/>
      <c r="O193" s="138"/>
      <c r="P193" s="138"/>
    </row>
    <row r="194">
      <c r="A194" s="138"/>
      <c r="B194" s="138"/>
      <c r="C194" s="138"/>
      <c r="D194" s="138"/>
      <c r="E194" s="138"/>
      <c r="F194" s="138"/>
      <c r="G194" s="138"/>
      <c r="H194" s="138"/>
      <c r="I194" s="138"/>
      <c r="J194" s="138"/>
      <c r="K194" s="138"/>
      <c r="L194" s="138"/>
      <c r="M194" s="138"/>
      <c r="N194" s="138"/>
      <c r="O194" s="138"/>
      <c r="P194" s="138"/>
    </row>
    <row r="195">
      <c r="A195" s="138"/>
      <c r="B195" s="138"/>
      <c r="C195" s="138"/>
      <c r="D195" s="138"/>
      <c r="E195" s="138"/>
      <c r="F195" s="138"/>
      <c r="G195" s="138"/>
      <c r="H195" s="138"/>
      <c r="I195" s="138"/>
      <c r="J195" s="138"/>
      <c r="K195" s="138"/>
      <c r="L195" s="138"/>
      <c r="M195" s="138"/>
      <c r="N195" s="138"/>
      <c r="O195" s="138"/>
      <c r="P195" s="138"/>
    </row>
    <row r="196">
      <c r="A196" s="138"/>
      <c r="B196" s="138"/>
      <c r="C196" s="138"/>
      <c r="D196" s="138"/>
      <c r="E196" s="138"/>
      <c r="F196" s="138"/>
      <c r="G196" s="138"/>
      <c r="H196" s="138"/>
      <c r="I196" s="138"/>
      <c r="J196" s="138"/>
      <c r="K196" s="138"/>
      <c r="L196" s="138"/>
      <c r="M196" s="138"/>
      <c r="N196" s="138"/>
      <c r="O196" s="138"/>
      <c r="P196" s="138"/>
    </row>
    <row r="197">
      <c r="A197" s="138"/>
      <c r="B197" s="138"/>
      <c r="C197" s="138"/>
      <c r="D197" s="138"/>
      <c r="E197" s="138"/>
      <c r="F197" s="138"/>
      <c r="G197" s="138"/>
      <c r="H197" s="138"/>
      <c r="I197" s="138"/>
      <c r="J197" s="138"/>
      <c r="K197" s="138"/>
      <c r="L197" s="138"/>
      <c r="M197" s="138"/>
      <c r="N197" s="138"/>
      <c r="O197" s="138"/>
      <c r="P197" s="138"/>
    </row>
    <row r="198">
      <c r="A198" s="138"/>
      <c r="B198" s="138"/>
      <c r="C198" s="138"/>
      <c r="D198" s="138"/>
      <c r="E198" s="138"/>
      <c r="F198" s="138"/>
      <c r="G198" s="138"/>
      <c r="H198" s="138"/>
      <c r="I198" s="138"/>
      <c r="J198" s="138"/>
      <c r="K198" s="138"/>
      <c r="L198" s="138"/>
      <c r="M198" s="138"/>
      <c r="N198" s="138"/>
      <c r="O198" s="138"/>
      <c r="P198" s="138"/>
    </row>
    <row r="199">
      <c r="A199" s="138"/>
      <c r="B199" s="138"/>
      <c r="C199" s="138"/>
      <c r="D199" s="138"/>
      <c r="E199" s="138"/>
      <c r="F199" s="138"/>
      <c r="G199" s="138"/>
      <c r="H199" s="138"/>
      <c r="I199" s="138"/>
      <c r="J199" s="138"/>
      <c r="K199" s="138"/>
      <c r="L199" s="138"/>
      <c r="M199" s="138"/>
      <c r="N199" s="138"/>
      <c r="O199" s="138"/>
      <c r="P199" s="138"/>
    </row>
    <row r="200">
      <c r="A200" s="138"/>
      <c r="B200" s="138"/>
      <c r="C200" s="138"/>
      <c r="D200" s="138"/>
      <c r="E200" s="138"/>
      <c r="F200" s="138"/>
      <c r="G200" s="138"/>
      <c r="H200" s="138"/>
      <c r="I200" s="138"/>
      <c r="J200" s="138"/>
      <c r="K200" s="138"/>
      <c r="L200" s="138"/>
      <c r="M200" s="138"/>
      <c r="N200" s="138"/>
      <c r="O200" s="138"/>
      <c r="P200" s="138"/>
    </row>
    <row r="201">
      <c r="A201" s="138"/>
      <c r="B201" s="138"/>
      <c r="C201" s="138"/>
      <c r="D201" s="138"/>
      <c r="E201" s="138"/>
      <c r="F201" s="138"/>
      <c r="G201" s="138"/>
      <c r="H201" s="138"/>
      <c r="I201" s="138"/>
      <c r="J201" s="138"/>
      <c r="K201" s="138"/>
      <c r="L201" s="138"/>
      <c r="M201" s="138"/>
      <c r="N201" s="138"/>
      <c r="O201" s="138"/>
      <c r="P201" s="138"/>
    </row>
    <row r="202">
      <c r="A202" s="138"/>
      <c r="B202" s="138"/>
      <c r="C202" s="138"/>
      <c r="D202" s="138"/>
      <c r="E202" s="138"/>
      <c r="F202" s="138"/>
      <c r="G202" s="138"/>
      <c r="H202" s="138"/>
      <c r="I202" s="138"/>
      <c r="J202" s="138"/>
      <c r="K202" s="138"/>
      <c r="L202" s="138"/>
      <c r="M202" s="138"/>
      <c r="N202" s="138"/>
      <c r="O202" s="138"/>
      <c r="P202" s="138"/>
    </row>
    <row r="203">
      <c r="A203" s="138"/>
      <c r="B203" s="138"/>
      <c r="C203" s="138"/>
      <c r="D203" s="138"/>
      <c r="E203" s="138"/>
      <c r="F203" s="138"/>
      <c r="G203" s="138"/>
      <c r="H203" s="138"/>
      <c r="I203" s="138"/>
      <c r="J203" s="138"/>
      <c r="K203" s="138"/>
      <c r="L203" s="138"/>
      <c r="M203" s="138"/>
      <c r="N203" s="138"/>
      <c r="O203" s="138"/>
      <c r="P203" s="138"/>
    </row>
    <row r="204">
      <c r="A204" s="138"/>
      <c r="B204" s="138"/>
      <c r="C204" s="138"/>
      <c r="D204" s="138"/>
      <c r="E204" s="138"/>
      <c r="F204" s="138"/>
      <c r="G204" s="138"/>
      <c r="H204" s="138"/>
      <c r="I204" s="138"/>
      <c r="J204" s="138"/>
      <c r="K204" s="138"/>
      <c r="L204" s="138"/>
      <c r="M204" s="138"/>
      <c r="N204" s="138"/>
      <c r="O204" s="138"/>
      <c r="P204" s="138"/>
    </row>
    <row r="205">
      <c r="A205" s="138"/>
      <c r="B205" s="138"/>
      <c r="C205" s="138"/>
      <c r="D205" s="138"/>
      <c r="E205" s="138"/>
      <c r="F205" s="138"/>
      <c r="G205" s="138"/>
      <c r="H205" s="138"/>
      <c r="I205" s="138"/>
      <c r="J205" s="138"/>
      <c r="K205" s="138"/>
      <c r="L205" s="138"/>
      <c r="M205" s="138"/>
      <c r="N205" s="138"/>
      <c r="O205" s="138"/>
      <c r="P205" s="138"/>
    </row>
    <row r="206">
      <c r="A206" s="138"/>
      <c r="B206" s="138"/>
      <c r="C206" s="138"/>
      <c r="D206" s="138"/>
      <c r="E206" s="138"/>
      <c r="F206" s="138"/>
      <c r="G206" s="138"/>
      <c r="H206" s="138"/>
      <c r="I206" s="138"/>
      <c r="J206" s="138"/>
      <c r="K206" s="138"/>
      <c r="L206" s="138"/>
      <c r="M206" s="138"/>
      <c r="N206" s="138"/>
      <c r="O206" s="138"/>
      <c r="P206" s="138"/>
    </row>
    <row r="207">
      <c r="A207" s="138"/>
      <c r="B207" s="138"/>
      <c r="C207" s="138"/>
      <c r="D207" s="138"/>
      <c r="E207" s="138"/>
      <c r="F207" s="138"/>
      <c r="G207" s="138"/>
      <c r="H207" s="138"/>
      <c r="I207" s="138"/>
      <c r="J207" s="138"/>
      <c r="K207" s="138"/>
      <c r="L207" s="138"/>
      <c r="M207" s="138"/>
      <c r="N207" s="138"/>
      <c r="O207" s="138"/>
      <c r="P207" s="138"/>
    </row>
    <row r="208">
      <c r="A208" s="138"/>
      <c r="B208" s="138"/>
      <c r="C208" s="138"/>
      <c r="D208" s="138"/>
      <c r="E208" s="138"/>
      <c r="F208" s="138"/>
      <c r="G208" s="138"/>
      <c r="H208" s="138"/>
      <c r="I208" s="138"/>
      <c r="J208" s="138"/>
      <c r="K208" s="138"/>
      <c r="L208" s="138"/>
      <c r="M208" s="138"/>
      <c r="N208" s="138"/>
      <c r="O208" s="138"/>
      <c r="P208" s="138"/>
    </row>
    <row r="209">
      <c r="A209" s="138"/>
      <c r="B209" s="138"/>
      <c r="C209" s="138"/>
      <c r="D209" s="138"/>
      <c r="E209" s="138"/>
      <c r="F209" s="138"/>
      <c r="G209" s="138"/>
      <c r="H209" s="138"/>
      <c r="I209" s="138"/>
      <c r="J209" s="138"/>
      <c r="K209" s="138"/>
      <c r="L209" s="138"/>
      <c r="M209" s="138"/>
      <c r="N209" s="138"/>
      <c r="O209" s="138"/>
      <c r="P209" s="138"/>
    </row>
    <row r="210">
      <c r="A210" s="138"/>
      <c r="B210" s="138"/>
      <c r="C210" s="138"/>
      <c r="D210" s="138"/>
      <c r="E210" s="138"/>
      <c r="F210" s="138"/>
      <c r="G210" s="138"/>
      <c r="H210" s="138"/>
      <c r="I210" s="138"/>
      <c r="J210" s="138"/>
      <c r="K210" s="138"/>
      <c r="L210" s="138"/>
      <c r="M210" s="138"/>
      <c r="N210" s="138"/>
      <c r="O210" s="138"/>
      <c r="P210" s="138"/>
    </row>
    <row r="211">
      <c r="A211" s="138"/>
      <c r="B211" s="138"/>
      <c r="C211" s="138"/>
      <c r="D211" s="138"/>
      <c r="E211" s="138"/>
      <c r="F211" s="138"/>
      <c r="G211" s="138"/>
      <c r="H211" s="138"/>
      <c r="I211" s="138"/>
      <c r="J211" s="138"/>
      <c r="K211" s="138"/>
      <c r="L211" s="138"/>
      <c r="M211" s="138"/>
      <c r="N211" s="138"/>
      <c r="O211" s="138"/>
      <c r="P211" s="138"/>
    </row>
    <row r="212">
      <c r="A212" s="138"/>
      <c r="B212" s="138"/>
      <c r="C212" s="138"/>
      <c r="D212" s="138"/>
      <c r="E212" s="138"/>
      <c r="F212" s="138"/>
      <c r="G212" s="138"/>
      <c r="H212" s="138"/>
      <c r="I212" s="138"/>
      <c r="J212" s="138"/>
      <c r="K212" s="138"/>
      <c r="L212" s="138"/>
      <c r="M212" s="138"/>
      <c r="N212" s="138"/>
      <c r="O212" s="138"/>
      <c r="P212" s="138"/>
    </row>
    <row r="213">
      <c r="A213" s="138"/>
      <c r="B213" s="138"/>
      <c r="C213" s="138"/>
      <c r="D213" s="138"/>
      <c r="E213" s="138"/>
      <c r="F213" s="138"/>
      <c r="G213" s="138"/>
      <c r="H213" s="138"/>
      <c r="I213" s="138"/>
      <c r="J213" s="138"/>
      <c r="K213" s="138"/>
      <c r="L213" s="138"/>
      <c r="M213" s="138"/>
      <c r="N213" s="138"/>
      <c r="O213" s="138"/>
      <c r="P213" s="138"/>
    </row>
    <row r="214">
      <c r="A214" s="138"/>
      <c r="B214" s="138"/>
      <c r="C214" s="138"/>
      <c r="D214" s="138"/>
      <c r="E214" s="138"/>
      <c r="F214" s="138"/>
      <c r="G214" s="138"/>
      <c r="H214" s="138"/>
      <c r="I214" s="138"/>
      <c r="J214" s="138"/>
      <c r="K214" s="138"/>
      <c r="L214" s="138"/>
      <c r="M214" s="138"/>
      <c r="N214" s="138"/>
      <c r="O214" s="138"/>
      <c r="P214" s="138"/>
    </row>
    <row r="215">
      <c r="A215" s="138"/>
      <c r="B215" s="138"/>
      <c r="C215" s="138"/>
      <c r="D215" s="138"/>
      <c r="E215" s="138"/>
      <c r="F215" s="138"/>
      <c r="G215" s="138"/>
      <c r="H215" s="138"/>
      <c r="I215" s="138"/>
      <c r="J215" s="138"/>
      <c r="K215" s="138"/>
      <c r="L215" s="138"/>
      <c r="M215" s="138"/>
      <c r="N215" s="138"/>
      <c r="O215" s="138"/>
      <c r="P215" s="138"/>
    </row>
    <row r="216">
      <c r="A216" s="138"/>
      <c r="B216" s="138"/>
      <c r="C216" s="138"/>
      <c r="D216" s="138"/>
      <c r="E216" s="138"/>
      <c r="F216" s="138"/>
      <c r="G216" s="138"/>
      <c r="H216" s="138"/>
      <c r="I216" s="138"/>
      <c r="J216" s="138"/>
      <c r="K216" s="138"/>
      <c r="L216" s="138"/>
      <c r="M216" s="138"/>
      <c r="N216" s="138"/>
      <c r="O216" s="138"/>
      <c r="P216" s="138"/>
    </row>
    <row r="217">
      <c r="A217" s="138"/>
      <c r="B217" s="138"/>
      <c r="C217" s="138"/>
      <c r="D217" s="138"/>
      <c r="E217" s="138"/>
      <c r="F217" s="138"/>
      <c r="G217" s="138"/>
      <c r="H217" s="138"/>
      <c r="I217" s="138"/>
      <c r="J217" s="138"/>
      <c r="K217" s="138"/>
      <c r="L217" s="138"/>
      <c r="M217" s="138"/>
      <c r="N217" s="138"/>
      <c r="O217" s="138"/>
      <c r="P217" s="138"/>
    </row>
    <row r="218">
      <c r="A218" s="138"/>
      <c r="B218" s="138"/>
      <c r="C218" s="138"/>
      <c r="D218" s="138"/>
      <c r="E218" s="138"/>
      <c r="F218" s="138"/>
      <c r="G218" s="138"/>
      <c r="H218" s="138"/>
      <c r="I218" s="138"/>
      <c r="J218" s="138"/>
      <c r="K218" s="138"/>
      <c r="L218" s="138"/>
      <c r="M218" s="138"/>
      <c r="N218" s="138"/>
      <c r="O218" s="138"/>
      <c r="P218" s="138"/>
    </row>
    <row r="219">
      <c r="A219" s="138"/>
      <c r="B219" s="138"/>
      <c r="C219" s="138"/>
      <c r="D219" s="138"/>
      <c r="E219" s="138"/>
      <c r="F219" s="138"/>
      <c r="G219" s="138"/>
      <c r="H219" s="138"/>
      <c r="I219" s="138"/>
      <c r="J219" s="138"/>
      <c r="K219" s="138"/>
      <c r="L219" s="138"/>
      <c r="M219" s="138"/>
      <c r="N219" s="138"/>
      <c r="O219" s="138"/>
      <c r="P219" s="138"/>
    </row>
    <row r="220">
      <c r="A220" s="138"/>
      <c r="B220" s="138"/>
      <c r="C220" s="138"/>
      <c r="D220" s="138"/>
      <c r="E220" s="138"/>
      <c r="F220" s="138"/>
      <c r="G220" s="138"/>
      <c r="H220" s="138"/>
      <c r="I220" s="138"/>
      <c r="J220" s="138"/>
      <c r="K220" s="138"/>
      <c r="L220" s="138"/>
      <c r="M220" s="138"/>
      <c r="N220" s="138"/>
      <c r="O220" s="138"/>
      <c r="P220" s="138"/>
    </row>
    <row r="221">
      <c r="A221" s="138"/>
      <c r="B221" s="138"/>
      <c r="C221" s="138"/>
      <c r="D221" s="138"/>
      <c r="E221" s="138"/>
      <c r="F221" s="138"/>
      <c r="G221" s="138"/>
      <c r="H221" s="138"/>
      <c r="I221" s="138"/>
      <c r="J221" s="138"/>
      <c r="K221" s="138"/>
      <c r="L221" s="138"/>
      <c r="M221" s="138"/>
      <c r="N221" s="138"/>
      <c r="O221" s="138"/>
      <c r="P221" s="138"/>
    </row>
    <row r="222">
      <c r="A222" s="138"/>
      <c r="B222" s="138"/>
      <c r="C222" s="138"/>
      <c r="D222" s="138"/>
      <c r="E222" s="138"/>
      <c r="F222" s="138"/>
      <c r="G222" s="138"/>
      <c r="H222" s="138"/>
      <c r="I222" s="138"/>
      <c r="J222" s="138"/>
      <c r="K222" s="138"/>
      <c r="L222" s="138"/>
      <c r="M222" s="138"/>
      <c r="N222" s="138"/>
      <c r="O222" s="138"/>
      <c r="P222" s="138"/>
    </row>
    <row r="223">
      <c r="A223" s="138"/>
      <c r="B223" s="138"/>
      <c r="C223" s="138"/>
      <c r="D223" s="138"/>
      <c r="E223" s="138"/>
      <c r="F223" s="138"/>
      <c r="G223" s="138"/>
      <c r="H223" s="138"/>
      <c r="I223" s="138"/>
      <c r="J223" s="138"/>
      <c r="K223" s="138"/>
      <c r="L223" s="138"/>
      <c r="M223" s="138"/>
      <c r="N223" s="138"/>
      <c r="O223" s="138"/>
      <c r="P223" s="138"/>
    </row>
    <row r="224">
      <c r="A224" s="138"/>
      <c r="B224" s="138"/>
      <c r="C224" s="138"/>
      <c r="D224" s="138"/>
      <c r="E224" s="138"/>
      <c r="F224" s="138"/>
      <c r="G224" s="138"/>
      <c r="H224" s="138"/>
      <c r="I224" s="138"/>
      <c r="J224" s="138"/>
      <c r="K224" s="138"/>
      <c r="L224" s="138"/>
      <c r="M224" s="138"/>
      <c r="N224" s="138"/>
      <c r="O224" s="138"/>
      <c r="P224" s="138"/>
    </row>
    <row r="225">
      <c r="A225" s="138"/>
      <c r="B225" s="138"/>
      <c r="C225" s="138"/>
      <c r="D225" s="138"/>
      <c r="E225" s="138"/>
      <c r="F225" s="138"/>
      <c r="G225" s="138"/>
      <c r="H225" s="138"/>
      <c r="I225" s="138"/>
      <c r="J225" s="138"/>
      <c r="K225" s="138"/>
      <c r="L225" s="138"/>
      <c r="M225" s="138"/>
      <c r="N225" s="138"/>
      <c r="O225" s="138"/>
      <c r="P225" s="138"/>
    </row>
    <row r="226">
      <c r="A226" s="138"/>
      <c r="B226" s="138"/>
      <c r="C226" s="138"/>
      <c r="D226" s="138"/>
      <c r="E226" s="138"/>
      <c r="F226" s="138"/>
      <c r="G226" s="138"/>
      <c r="H226" s="138"/>
      <c r="I226" s="138"/>
      <c r="J226" s="138"/>
      <c r="K226" s="138"/>
      <c r="L226" s="138"/>
      <c r="M226" s="138"/>
      <c r="N226" s="138"/>
      <c r="O226" s="138"/>
      <c r="P226" s="138"/>
    </row>
    <row r="227">
      <c r="A227" s="138"/>
      <c r="B227" s="138"/>
      <c r="C227" s="138"/>
      <c r="D227" s="138"/>
      <c r="E227" s="138"/>
      <c r="F227" s="138"/>
      <c r="G227" s="138"/>
      <c r="H227" s="138"/>
      <c r="I227" s="138"/>
      <c r="J227" s="138"/>
      <c r="K227" s="138"/>
      <c r="L227" s="138"/>
      <c r="M227" s="138"/>
      <c r="N227" s="138"/>
      <c r="O227" s="138"/>
      <c r="P227" s="138"/>
    </row>
    <row r="228">
      <c r="A228" s="138"/>
      <c r="B228" s="138"/>
      <c r="C228" s="138"/>
      <c r="D228" s="138"/>
      <c r="E228" s="138"/>
      <c r="F228" s="138"/>
      <c r="G228" s="138"/>
      <c r="H228" s="138"/>
      <c r="I228" s="138"/>
      <c r="J228" s="138"/>
      <c r="K228" s="138"/>
      <c r="L228" s="138"/>
      <c r="M228" s="138"/>
      <c r="N228" s="138"/>
      <c r="O228" s="138"/>
      <c r="P228" s="138"/>
    </row>
    <row r="229">
      <c r="A229" s="138"/>
      <c r="B229" s="138"/>
      <c r="C229" s="138"/>
      <c r="D229" s="138"/>
      <c r="E229" s="138"/>
      <c r="F229" s="138"/>
      <c r="G229" s="138"/>
      <c r="H229" s="138"/>
      <c r="I229" s="138"/>
      <c r="J229" s="138"/>
      <c r="K229" s="138"/>
      <c r="L229" s="138"/>
      <c r="M229" s="138"/>
      <c r="N229" s="138"/>
      <c r="O229" s="138"/>
      <c r="P229" s="138"/>
    </row>
    <row r="230">
      <c r="A230" s="138"/>
      <c r="B230" s="138"/>
      <c r="C230" s="138"/>
      <c r="D230" s="138"/>
      <c r="E230" s="138"/>
      <c r="F230" s="138"/>
      <c r="G230" s="138"/>
      <c r="H230" s="138"/>
      <c r="I230" s="138"/>
      <c r="J230" s="138"/>
      <c r="K230" s="138"/>
      <c r="L230" s="138"/>
      <c r="M230" s="138"/>
      <c r="N230" s="138"/>
      <c r="O230" s="138"/>
      <c r="P230" s="138"/>
    </row>
    <row r="231">
      <c r="A231" s="138"/>
      <c r="B231" s="138"/>
      <c r="C231" s="138"/>
      <c r="D231" s="138"/>
      <c r="E231" s="138"/>
      <c r="F231" s="138"/>
      <c r="G231" s="138"/>
      <c r="H231" s="138"/>
      <c r="I231" s="138"/>
      <c r="J231" s="138"/>
      <c r="K231" s="138"/>
      <c r="L231" s="138"/>
      <c r="M231" s="138"/>
      <c r="N231" s="138"/>
      <c r="O231" s="138"/>
      <c r="P231" s="138"/>
    </row>
    <row r="232">
      <c r="A232" s="138"/>
      <c r="B232" s="138"/>
      <c r="C232" s="138"/>
      <c r="D232" s="138"/>
      <c r="E232" s="138"/>
      <c r="F232" s="138"/>
      <c r="G232" s="138"/>
      <c r="H232" s="138"/>
      <c r="I232" s="138"/>
      <c r="J232" s="138"/>
      <c r="K232" s="138"/>
      <c r="L232" s="138"/>
      <c r="M232" s="138"/>
      <c r="N232" s="138"/>
      <c r="O232" s="138"/>
      <c r="P232" s="138"/>
    </row>
    <row r="233">
      <c r="A233" s="138"/>
      <c r="B233" s="138"/>
      <c r="C233" s="138"/>
      <c r="D233" s="138"/>
      <c r="E233" s="138"/>
      <c r="F233" s="138"/>
      <c r="G233" s="138"/>
      <c r="H233" s="138"/>
      <c r="I233" s="138"/>
      <c r="J233" s="138"/>
      <c r="K233" s="138"/>
      <c r="L233" s="138"/>
      <c r="M233" s="138"/>
      <c r="N233" s="138"/>
      <c r="O233" s="138"/>
      <c r="P233" s="138"/>
    </row>
    <row r="234">
      <c r="A234" s="138"/>
      <c r="B234" s="138"/>
      <c r="C234" s="138"/>
      <c r="D234" s="138"/>
      <c r="E234" s="138"/>
      <c r="F234" s="138"/>
      <c r="G234" s="138"/>
      <c r="H234" s="138"/>
      <c r="I234" s="138"/>
      <c r="J234" s="138"/>
      <c r="K234" s="138"/>
      <c r="L234" s="138"/>
      <c r="M234" s="138"/>
      <c r="N234" s="138"/>
      <c r="O234" s="138"/>
      <c r="P234" s="138"/>
    </row>
    <row r="235">
      <c r="A235" s="138"/>
      <c r="B235" s="138"/>
      <c r="C235" s="138"/>
      <c r="D235" s="138"/>
      <c r="E235" s="138"/>
      <c r="F235" s="138"/>
      <c r="G235" s="138"/>
      <c r="H235" s="138"/>
      <c r="I235" s="138"/>
      <c r="J235" s="138"/>
      <c r="K235" s="138"/>
      <c r="L235" s="138"/>
      <c r="M235" s="138"/>
      <c r="N235" s="138"/>
      <c r="O235" s="138"/>
      <c r="P235" s="138"/>
    </row>
    <row r="236">
      <c r="A236" s="138"/>
      <c r="B236" s="138"/>
      <c r="C236" s="138"/>
      <c r="D236" s="138"/>
      <c r="E236" s="138"/>
      <c r="F236" s="138"/>
      <c r="G236" s="138"/>
      <c r="H236" s="138"/>
      <c r="I236" s="138"/>
      <c r="J236" s="138"/>
      <c r="K236" s="138"/>
      <c r="L236" s="138"/>
      <c r="M236" s="138"/>
      <c r="N236" s="138"/>
      <c r="O236" s="138"/>
      <c r="P236" s="138"/>
    </row>
    <row r="237">
      <c r="A237" s="138"/>
      <c r="B237" s="138"/>
      <c r="C237" s="138"/>
      <c r="D237" s="138"/>
      <c r="E237" s="138"/>
      <c r="F237" s="138"/>
      <c r="G237" s="138"/>
      <c r="H237" s="138"/>
      <c r="I237" s="138"/>
      <c r="J237" s="138"/>
      <c r="K237" s="138"/>
      <c r="L237" s="138"/>
      <c r="M237" s="138"/>
      <c r="N237" s="138"/>
      <c r="O237" s="138"/>
      <c r="P237" s="138"/>
    </row>
    <row r="238">
      <c r="A238" s="138"/>
      <c r="B238" s="138"/>
      <c r="C238" s="138"/>
      <c r="D238" s="138"/>
      <c r="E238" s="138"/>
      <c r="F238" s="138"/>
      <c r="G238" s="138"/>
      <c r="H238" s="138"/>
      <c r="I238" s="138"/>
      <c r="J238" s="138"/>
      <c r="K238" s="138"/>
      <c r="L238" s="138"/>
      <c r="M238" s="138"/>
      <c r="N238" s="138"/>
      <c r="O238" s="138"/>
      <c r="P238" s="138"/>
    </row>
    <row r="239">
      <c r="A239" s="138"/>
      <c r="B239" s="138"/>
      <c r="C239" s="138"/>
      <c r="D239" s="138"/>
      <c r="E239" s="138"/>
      <c r="F239" s="138"/>
      <c r="G239" s="138"/>
      <c r="H239" s="138"/>
      <c r="I239" s="138"/>
      <c r="J239" s="138"/>
      <c r="K239" s="138"/>
      <c r="L239" s="138"/>
      <c r="M239" s="138"/>
      <c r="N239" s="138"/>
      <c r="O239" s="138"/>
      <c r="P239" s="138"/>
    </row>
    <row r="240">
      <c r="A240" s="138"/>
      <c r="B240" s="138"/>
      <c r="C240" s="138"/>
      <c r="D240" s="138"/>
      <c r="E240" s="138"/>
      <c r="F240" s="138"/>
      <c r="G240" s="138"/>
      <c r="H240" s="138"/>
      <c r="I240" s="138"/>
      <c r="J240" s="138"/>
      <c r="K240" s="138"/>
      <c r="L240" s="138"/>
      <c r="M240" s="138"/>
      <c r="N240" s="138"/>
      <c r="O240" s="138"/>
      <c r="P240" s="138"/>
    </row>
    <row r="241">
      <c r="A241" s="138"/>
      <c r="B241" s="138"/>
      <c r="C241" s="138"/>
      <c r="D241" s="138"/>
      <c r="E241" s="138"/>
      <c r="F241" s="138"/>
      <c r="G241" s="138"/>
      <c r="H241" s="138"/>
      <c r="I241" s="138"/>
      <c r="J241" s="138"/>
      <c r="K241" s="138"/>
      <c r="L241" s="138"/>
      <c r="M241" s="138"/>
      <c r="N241" s="138"/>
      <c r="O241" s="138"/>
      <c r="P241" s="138"/>
    </row>
    <row r="242">
      <c r="A242" s="138"/>
      <c r="B242" s="138"/>
      <c r="C242" s="138"/>
      <c r="D242" s="138"/>
      <c r="E242" s="138"/>
      <c r="F242" s="138"/>
      <c r="G242" s="138"/>
      <c r="H242" s="138"/>
      <c r="I242" s="138"/>
      <c r="J242" s="138"/>
      <c r="K242" s="138"/>
      <c r="L242" s="138"/>
      <c r="M242" s="138"/>
      <c r="N242" s="138"/>
      <c r="O242" s="138"/>
      <c r="P242" s="138"/>
    </row>
    <row r="243">
      <c r="A243" s="138"/>
      <c r="B243" s="138"/>
      <c r="C243" s="138"/>
      <c r="D243" s="138"/>
      <c r="E243" s="138"/>
      <c r="F243" s="138"/>
      <c r="G243" s="138"/>
      <c r="H243" s="138"/>
      <c r="I243" s="138"/>
      <c r="J243" s="138"/>
      <c r="K243" s="138"/>
      <c r="L243" s="138"/>
      <c r="M243" s="138"/>
      <c r="N243" s="138"/>
      <c r="O243" s="138"/>
      <c r="P243" s="138"/>
    </row>
    <row r="244">
      <c r="A244" s="138"/>
      <c r="B244" s="138"/>
      <c r="C244" s="138"/>
      <c r="D244" s="138"/>
      <c r="E244" s="138"/>
      <c r="F244" s="138"/>
      <c r="G244" s="138"/>
      <c r="H244" s="138"/>
      <c r="I244" s="138"/>
      <c r="J244" s="138"/>
      <c r="K244" s="138"/>
      <c r="L244" s="138"/>
      <c r="M244" s="138"/>
      <c r="N244" s="138"/>
      <c r="O244" s="138"/>
      <c r="P244" s="138"/>
    </row>
    <row r="245">
      <c r="A245" s="138"/>
      <c r="B245" s="138"/>
      <c r="C245" s="138"/>
      <c r="D245" s="138"/>
      <c r="E245" s="138"/>
      <c r="F245" s="138"/>
      <c r="G245" s="138"/>
      <c r="H245" s="138"/>
      <c r="I245" s="138"/>
      <c r="J245" s="138"/>
      <c r="K245" s="138"/>
      <c r="L245" s="138"/>
      <c r="M245" s="138"/>
      <c r="N245" s="138"/>
      <c r="O245" s="138"/>
      <c r="P245" s="138"/>
    </row>
    <row r="246">
      <c r="A246" s="138"/>
      <c r="B246" s="138"/>
      <c r="C246" s="138"/>
      <c r="D246" s="138"/>
      <c r="E246" s="138"/>
      <c r="F246" s="138"/>
      <c r="G246" s="138"/>
      <c r="H246" s="138"/>
      <c r="I246" s="138"/>
      <c r="J246" s="138"/>
      <c r="K246" s="138"/>
      <c r="L246" s="138"/>
      <c r="M246" s="138"/>
      <c r="N246" s="138"/>
      <c r="O246" s="138"/>
      <c r="P246" s="138"/>
    </row>
    <row r="247">
      <c r="A247" s="138"/>
      <c r="B247" s="138"/>
      <c r="C247" s="138"/>
      <c r="D247" s="138"/>
      <c r="E247" s="138"/>
      <c r="F247" s="138"/>
      <c r="G247" s="138"/>
      <c r="H247" s="138"/>
      <c r="I247" s="138"/>
      <c r="J247" s="138"/>
      <c r="K247" s="138"/>
      <c r="L247" s="138"/>
      <c r="M247" s="138"/>
      <c r="N247" s="138"/>
      <c r="O247" s="138"/>
      <c r="P247" s="138"/>
    </row>
    <row r="248">
      <c r="A248" s="138"/>
      <c r="B248" s="138"/>
      <c r="C248" s="138"/>
      <c r="D248" s="138"/>
      <c r="E248" s="138"/>
      <c r="F248" s="138"/>
      <c r="G248" s="138"/>
      <c r="H248" s="138"/>
      <c r="I248" s="138"/>
      <c r="J248" s="138"/>
      <c r="K248" s="138"/>
      <c r="L248" s="138"/>
      <c r="M248" s="138"/>
      <c r="N248" s="138"/>
      <c r="O248" s="138"/>
      <c r="P248" s="138"/>
    </row>
    <row r="249">
      <c r="A249" s="138"/>
      <c r="B249" s="138"/>
      <c r="C249" s="138"/>
      <c r="D249" s="138"/>
      <c r="E249" s="138"/>
      <c r="F249" s="138"/>
      <c r="G249" s="138"/>
      <c r="H249" s="138"/>
      <c r="I249" s="138"/>
      <c r="J249" s="138"/>
      <c r="K249" s="138"/>
      <c r="L249" s="138"/>
      <c r="M249" s="138"/>
      <c r="N249" s="138"/>
      <c r="O249" s="138"/>
      <c r="P249" s="138"/>
    </row>
    <row r="250">
      <c r="A250" s="138"/>
      <c r="B250" s="138"/>
      <c r="C250" s="138"/>
      <c r="D250" s="138"/>
      <c r="E250" s="138"/>
      <c r="F250" s="138"/>
      <c r="G250" s="138"/>
      <c r="H250" s="138"/>
      <c r="I250" s="138"/>
      <c r="J250" s="138"/>
      <c r="K250" s="138"/>
      <c r="L250" s="138"/>
      <c r="M250" s="138"/>
      <c r="N250" s="138"/>
      <c r="O250" s="138"/>
      <c r="P250" s="138"/>
    </row>
    <row r="251">
      <c r="A251" s="138"/>
      <c r="B251" s="138"/>
      <c r="C251" s="138"/>
      <c r="D251" s="138"/>
      <c r="E251" s="138"/>
      <c r="F251" s="138"/>
      <c r="G251" s="138"/>
      <c r="H251" s="138"/>
      <c r="I251" s="138"/>
      <c r="J251" s="138"/>
      <c r="K251" s="138"/>
      <c r="L251" s="138"/>
      <c r="M251" s="138"/>
      <c r="N251" s="138"/>
      <c r="O251" s="138"/>
      <c r="P251" s="138"/>
    </row>
    <row r="252">
      <c r="A252" s="138"/>
      <c r="B252" s="138"/>
      <c r="C252" s="138"/>
      <c r="D252" s="138"/>
      <c r="E252" s="138"/>
      <c r="F252" s="138"/>
      <c r="G252" s="138"/>
      <c r="H252" s="138"/>
      <c r="I252" s="138"/>
      <c r="J252" s="138"/>
      <c r="K252" s="138"/>
      <c r="L252" s="138"/>
      <c r="M252" s="138"/>
      <c r="N252" s="138"/>
      <c r="O252" s="138"/>
      <c r="P252" s="138"/>
    </row>
    <row r="253">
      <c r="A253" s="138"/>
      <c r="B253" s="138"/>
      <c r="C253" s="138"/>
      <c r="D253" s="138"/>
      <c r="E253" s="138"/>
      <c r="F253" s="138"/>
      <c r="G253" s="138"/>
      <c r="H253" s="138"/>
      <c r="I253" s="138"/>
      <c r="J253" s="138"/>
      <c r="K253" s="138"/>
      <c r="L253" s="138"/>
      <c r="M253" s="138"/>
      <c r="N253" s="138"/>
      <c r="O253" s="138"/>
      <c r="P253" s="138"/>
    </row>
    <row r="254">
      <c r="A254" s="138"/>
      <c r="B254" s="138"/>
      <c r="C254" s="138"/>
      <c r="D254" s="138"/>
      <c r="E254" s="138"/>
      <c r="F254" s="138"/>
      <c r="G254" s="138"/>
      <c r="H254" s="138"/>
      <c r="I254" s="138"/>
      <c r="J254" s="138"/>
      <c r="K254" s="138"/>
      <c r="L254" s="138"/>
      <c r="M254" s="138"/>
      <c r="N254" s="138"/>
      <c r="O254" s="138"/>
      <c r="P254" s="138"/>
    </row>
    <row r="255">
      <c r="A255" s="138"/>
      <c r="B255" s="138"/>
      <c r="C255" s="138"/>
      <c r="D255" s="138"/>
      <c r="E255" s="138"/>
      <c r="F255" s="138"/>
      <c r="G255" s="138"/>
      <c r="H255" s="138"/>
      <c r="I255" s="138"/>
      <c r="J255" s="138"/>
      <c r="K255" s="138"/>
      <c r="L255" s="138"/>
      <c r="M255" s="138"/>
      <c r="N255" s="138"/>
      <c r="O255" s="138"/>
      <c r="P255" s="138"/>
    </row>
    <row r="256">
      <c r="A256" s="138"/>
      <c r="B256" s="138"/>
      <c r="C256" s="138"/>
      <c r="D256" s="138"/>
      <c r="E256" s="138"/>
      <c r="F256" s="138"/>
      <c r="G256" s="138"/>
      <c r="H256" s="138"/>
      <c r="I256" s="138"/>
      <c r="J256" s="138"/>
      <c r="K256" s="138"/>
      <c r="L256" s="138"/>
      <c r="M256" s="138"/>
      <c r="N256" s="138"/>
      <c r="O256" s="138"/>
      <c r="P256" s="138"/>
    </row>
    <row r="257">
      <c r="A257" s="138"/>
      <c r="B257" s="138"/>
      <c r="C257" s="138"/>
      <c r="D257" s="138"/>
      <c r="E257" s="138"/>
      <c r="F257" s="138"/>
      <c r="G257" s="138"/>
      <c r="H257" s="138"/>
      <c r="I257" s="138"/>
      <c r="J257" s="138"/>
      <c r="K257" s="138"/>
      <c r="L257" s="138"/>
      <c r="M257" s="138"/>
      <c r="N257" s="138"/>
      <c r="O257" s="138"/>
      <c r="P257" s="138"/>
    </row>
    <row r="258">
      <c r="A258" s="138"/>
      <c r="B258" s="138"/>
      <c r="C258" s="138"/>
      <c r="D258" s="138"/>
      <c r="E258" s="138"/>
      <c r="F258" s="138"/>
      <c r="G258" s="138"/>
      <c r="H258" s="138"/>
      <c r="I258" s="138"/>
      <c r="J258" s="138"/>
      <c r="K258" s="138"/>
      <c r="L258" s="138"/>
      <c r="M258" s="138"/>
      <c r="N258" s="138"/>
      <c r="O258" s="138"/>
      <c r="P258" s="138"/>
    </row>
    <row r="259">
      <c r="A259" s="138"/>
      <c r="B259" s="138"/>
      <c r="C259" s="138"/>
      <c r="D259" s="138"/>
      <c r="E259" s="138"/>
      <c r="F259" s="138"/>
      <c r="G259" s="138"/>
      <c r="H259" s="138"/>
      <c r="I259" s="138"/>
      <c r="J259" s="138"/>
      <c r="K259" s="138"/>
      <c r="L259" s="138"/>
      <c r="M259" s="138"/>
      <c r="N259" s="138"/>
      <c r="O259" s="138"/>
      <c r="P259" s="138"/>
    </row>
    <row r="260">
      <c r="A260" s="138"/>
      <c r="B260" s="138"/>
      <c r="C260" s="138"/>
      <c r="D260" s="138"/>
      <c r="E260" s="138"/>
      <c r="F260" s="138"/>
      <c r="G260" s="138"/>
      <c r="H260" s="138"/>
      <c r="I260" s="138"/>
      <c r="J260" s="138"/>
      <c r="K260" s="138"/>
      <c r="L260" s="138"/>
      <c r="M260" s="138"/>
      <c r="N260" s="138"/>
      <c r="O260" s="138"/>
      <c r="P260" s="138"/>
    </row>
    <row r="261">
      <c r="A261" s="138"/>
      <c r="B261" s="138"/>
      <c r="C261" s="138"/>
      <c r="D261" s="138"/>
      <c r="E261" s="138"/>
      <c r="F261" s="138"/>
      <c r="G261" s="138"/>
      <c r="H261" s="138"/>
      <c r="I261" s="138"/>
      <c r="J261" s="138"/>
      <c r="K261" s="138"/>
      <c r="L261" s="138"/>
      <c r="M261" s="138"/>
      <c r="N261" s="138"/>
      <c r="O261" s="138"/>
      <c r="P261" s="138"/>
    </row>
    <row r="262">
      <c r="A262" s="138"/>
      <c r="B262" s="138"/>
      <c r="C262" s="138"/>
      <c r="D262" s="138"/>
      <c r="E262" s="138"/>
      <c r="F262" s="138"/>
      <c r="G262" s="138"/>
      <c r="H262" s="138"/>
      <c r="I262" s="138"/>
      <c r="J262" s="138"/>
      <c r="K262" s="138"/>
      <c r="L262" s="138"/>
      <c r="M262" s="138"/>
      <c r="N262" s="138"/>
      <c r="O262" s="138"/>
      <c r="P262" s="138"/>
    </row>
    <row r="263">
      <c r="A263" s="138"/>
      <c r="B263" s="138"/>
      <c r="C263" s="138"/>
      <c r="D263" s="138"/>
      <c r="E263" s="138"/>
      <c r="F263" s="138"/>
      <c r="G263" s="138"/>
      <c r="H263" s="138"/>
      <c r="I263" s="138"/>
      <c r="J263" s="138"/>
      <c r="K263" s="138"/>
      <c r="L263" s="138"/>
      <c r="M263" s="138"/>
      <c r="N263" s="138"/>
      <c r="O263" s="138"/>
      <c r="P263" s="138"/>
    </row>
    <row r="264">
      <c r="A264" s="138"/>
      <c r="B264" s="138"/>
      <c r="C264" s="138"/>
      <c r="D264" s="138"/>
      <c r="E264" s="138"/>
      <c r="F264" s="138"/>
      <c r="G264" s="138"/>
      <c r="H264" s="138"/>
      <c r="I264" s="138"/>
      <c r="J264" s="138"/>
      <c r="K264" s="138"/>
      <c r="L264" s="138"/>
      <c r="M264" s="138"/>
      <c r="N264" s="138"/>
      <c r="O264" s="138"/>
      <c r="P264" s="138"/>
    </row>
    <row r="265">
      <c r="A265" s="138"/>
      <c r="B265" s="138"/>
      <c r="C265" s="138"/>
      <c r="D265" s="138"/>
      <c r="E265" s="138"/>
      <c r="F265" s="138"/>
      <c r="G265" s="138"/>
      <c r="H265" s="138"/>
      <c r="I265" s="138"/>
      <c r="J265" s="138"/>
      <c r="K265" s="138"/>
      <c r="L265" s="138"/>
      <c r="M265" s="138"/>
      <c r="N265" s="138"/>
      <c r="O265" s="138"/>
      <c r="P265" s="138"/>
    </row>
    <row r="266">
      <c r="A266" s="138"/>
      <c r="B266" s="138"/>
      <c r="C266" s="138"/>
      <c r="D266" s="138"/>
      <c r="E266" s="138"/>
      <c r="F266" s="138"/>
      <c r="G266" s="138"/>
      <c r="H266" s="138"/>
      <c r="I266" s="138"/>
      <c r="J266" s="138"/>
      <c r="K266" s="138"/>
      <c r="L266" s="138"/>
      <c r="M266" s="138"/>
      <c r="N266" s="138"/>
      <c r="O266" s="138"/>
      <c r="P266" s="138"/>
    </row>
    <row r="267">
      <c r="A267" s="138"/>
      <c r="B267" s="138"/>
      <c r="C267" s="138"/>
      <c r="D267" s="138"/>
      <c r="E267" s="138"/>
      <c r="F267" s="138"/>
      <c r="G267" s="138"/>
      <c r="H267" s="138"/>
      <c r="I267" s="138"/>
      <c r="J267" s="138"/>
      <c r="K267" s="138"/>
      <c r="L267" s="138"/>
      <c r="M267" s="138"/>
      <c r="N267" s="138"/>
      <c r="O267" s="138"/>
      <c r="P267" s="138"/>
    </row>
    <row r="268">
      <c r="A268" s="138"/>
      <c r="B268" s="138"/>
      <c r="C268" s="138"/>
      <c r="D268" s="138"/>
      <c r="E268" s="138"/>
      <c r="F268" s="138"/>
      <c r="G268" s="138"/>
      <c r="H268" s="138"/>
      <c r="I268" s="138"/>
      <c r="J268" s="138"/>
      <c r="K268" s="138"/>
      <c r="L268" s="138"/>
      <c r="M268" s="138"/>
      <c r="N268" s="138"/>
      <c r="O268" s="138"/>
      <c r="P268" s="138"/>
    </row>
    <row r="269">
      <c r="A269" s="138"/>
      <c r="B269" s="138"/>
      <c r="C269" s="138"/>
      <c r="D269" s="138"/>
      <c r="E269" s="138"/>
      <c r="F269" s="138"/>
      <c r="G269" s="138"/>
      <c r="H269" s="138"/>
      <c r="I269" s="138"/>
      <c r="J269" s="138"/>
      <c r="K269" s="138"/>
      <c r="L269" s="138"/>
      <c r="M269" s="138"/>
      <c r="N269" s="138"/>
      <c r="O269" s="138"/>
      <c r="P269" s="138"/>
    </row>
    <row r="270">
      <c r="A270" s="138"/>
      <c r="B270" s="138"/>
      <c r="C270" s="138"/>
      <c r="D270" s="138"/>
      <c r="E270" s="138"/>
      <c r="F270" s="138"/>
      <c r="G270" s="138"/>
      <c r="H270" s="138"/>
      <c r="I270" s="138"/>
      <c r="J270" s="138"/>
      <c r="K270" s="138"/>
      <c r="L270" s="138"/>
      <c r="M270" s="138"/>
      <c r="N270" s="138"/>
      <c r="O270" s="138"/>
      <c r="P270" s="138"/>
    </row>
    <row r="271">
      <c r="A271" s="138"/>
      <c r="B271" s="138"/>
      <c r="C271" s="138"/>
      <c r="D271" s="138"/>
      <c r="E271" s="138"/>
      <c r="F271" s="138"/>
      <c r="G271" s="138"/>
      <c r="H271" s="138"/>
      <c r="I271" s="138"/>
      <c r="J271" s="138"/>
      <c r="K271" s="138"/>
      <c r="L271" s="138"/>
      <c r="M271" s="138"/>
      <c r="N271" s="138"/>
      <c r="O271" s="138"/>
      <c r="P271" s="138"/>
    </row>
    <row r="272">
      <c r="A272" s="138"/>
      <c r="B272" s="138"/>
      <c r="C272" s="138"/>
      <c r="D272" s="138"/>
      <c r="E272" s="138"/>
      <c r="F272" s="138"/>
      <c r="G272" s="138"/>
      <c r="H272" s="138"/>
      <c r="I272" s="138"/>
      <c r="J272" s="138"/>
      <c r="K272" s="138"/>
      <c r="L272" s="138"/>
      <c r="M272" s="138"/>
      <c r="N272" s="138"/>
      <c r="O272" s="138"/>
      <c r="P272" s="138"/>
    </row>
    <row r="273">
      <c r="A273" s="138"/>
      <c r="B273" s="138"/>
      <c r="C273" s="138"/>
      <c r="D273" s="138"/>
      <c r="E273" s="138"/>
      <c r="F273" s="138"/>
      <c r="G273" s="138"/>
      <c r="H273" s="138"/>
      <c r="I273" s="138"/>
      <c r="J273" s="138"/>
      <c r="K273" s="138"/>
      <c r="L273" s="138"/>
      <c r="M273" s="138"/>
      <c r="N273" s="138"/>
      <c r="O273" s="138"/>
      <c r="P273" s="138"/>
    </row>
    <row r="274">
      <c r="A274" s="138"/>
      <c r="B274" s="138"/>
      <c r="C274" s="138"/>
      <c r="D274" s="138"/>
      <c r="E274" s="138"/>
      <c r="F274" s="138"/>
      <c r="G274" s="138"/>
      <c r="H274" s="138"/>
      <c r="I274" s="138"/>
      <c r="J274" s="138"/>
      <c r="K274" s="138"/>
      <c r="L274" s="138"/>
      <c r="M274" s="138"/>
      <c r="N274" s="138"/>
      <c r="O274" s="138"/>
      <c r="P274" s="138"/>
    </row>
    <row r="275">
      <c r="A275" s="138"/>
      <c r="B275" s="138"/>
      <c r="C275" s="138"/>
      <c r="D275" s="138"/>
      <c r="E275" s="138"/>
      <c r="F275" s="138"/>
      <c r="G275" s="138"/>
      <c r="H275" s="138"/>
      <c r="I275" s="138"/>
      <c r="J275" s="138"/>
      <c r="K275" s="138"/>
      <c r="L275" s="138"/>
      <c r="M275" s="138"/>
      <c r="N275" s="138"/>
      <c r="O275" s="138"/>
      <c r="P275" s="138"/>
    </row>
    <row r="276">
      <c r="A276" s="138"/>
      <c r="B276" s="138"/>
      <c r="C276" s="138"/>
      <c r="D276" s="138"/>
      <c r="E276" s="138"/>
      <c r="F276" s="138"/>
      <c r="G276" s="138"/>
      <c r="H276" s="138"/>
      <c r="I276" s="138"/>
      <c r="J276" s="138"/>
      <c r="K276" s="138"/>
      <c r="L276" s="138"/>
      <c r="M276" s="138"/>
      <c r="N276" s="138"/>
      <c r="O276" s="138"/>
      <c r="P276" s="138"/>
    </row>
    <row r="277">
      <c r="A277" s="138"/>
      <c r="B277" s="138"/>
      <c r="C277" s="138"/>
      <c r="D277" s="138"/>
      <c r="E277" s="138"/>
      <c r="F277" s="138"/>
      <c r="G277" s="138"/>
      <c r="H277" s="138"/>
      <c r="I277" s="138"/>
      <c r="J277" s="138"/>
      <c r="K277" s="138"/>
      <c r="L277" s="138"/>
      <c r="M277" s="138"/>
      <c r="N277" s="138"/>
      <c r="O277" s="138"/>
      <c r="P277" s="138"/>
    </row>
    <row r="278">
      <c r="A278" s="138"/>
      <c r="B278" s="138"/>
      <c r="C278" s="138"/>
      <c r="D278" s="138"/>
      <c r="E278" s="138"/>
      <c r="F278" s="138"/>
      <c r="G278" s="138"/>
      <c r="H278" s="138"/>
      <c r="I278" s="138"/>
      <c r="J278" s="138"/>
      <c r="K278" s="138"/>
      <c r="L278" s="138"/>
      <c r="M278" s="138"/>
      <c r="N278" s="138"/>
      <c r="O278" s="138"/>
      <c r="P278" s="138"/>
    </row>
    <row r="279">
      <c r="A279" s="138"/>
      <c r="B279" s="138"/>
      <c r="C279" s="138"/>
      <c r="D279" s="138"/>
      <c r="E279" s="138"/>
      <c r="F279" s="138"/>
      <c r="G279" s="138"/>
      <c r="H279" s="138"/>
      <c r="I279" s="138"/>
      <c r="J279" s="138"/>
      <c r="K279" s="138"/>
      <c r="L279" s="138"/>
      <c r="M279" s="138"/>
      <c r="N279" s="138"/>
      <c r="O279" s="138"/>
      <c r="P279" s="138"/>
    </row>
    <row r="280">
      <c r="A280" s="138"/>
      <c r="B280" s="138"/>
      <c r="C280" s="138"/>
      <c r="D280" s="138"/>
      <c r="E280" s="138"/>
      <c r="F280" s="138"/>
      <c r="G280" s="138"/>
      <c r="H280" s="138"/>
      <c r="I280" s="138"/>
      <c r="J280" s="138"/>
      <c r="K280" s="138"/>
      <c r="L280" s="138"/>
      <c r="M280" s="138"/>
      <c r="N280" s="138"/>
      <c r="O280" s="138"/>
      <c r="P280" s="138"/>
    </row>
    <row r="281">
      <c r="A281" s="138"/>
      <c r="B281" s="138"/>
      <c r="C281" s="138"/>
      <c r="D281" s="138"/>
      <c r="E281" s="138"/>
      <c r="F281" s="138"/>
      <c r="G281" s="138"/>
      <c r="H281" s="138"/>
      <c r="I281" s="138"/>
      <c r="J281" s="138"/>
      <c r="K281" s="138"/>
      <c r="L281" s="138"/>
      <c r="M281" s="138"/>
      <c r="N281" s="138"/>
      <c r="O281" s="138"/>
      <c r="P281" s="138"/>
    </row>
    <row r="282">
      <c r="A282" s="138"/>
      <c r="B282" s="138"/>
      <c r="C282" s="138"/>
      <c r="D282" s="138"/>
      <c r="E282" s="138"/>
      <c r="F282" s="138"/>
      <c r="G282" s="138"/>
      <c r="H282" s="138"/>
      <c r="I282" s="138"/>
      <c r="J282" s="138"/>
      <c r="K282" s="138"/>
      <c r="L282" s="138"/>
      <c r="M282" s="138"/>
      <c r="N282" s="138"/>
      <c r="O282" s="138"/>
      <c r="P282" s="138"/>
    </row>
    <row r="283">
      <c r="A283" s="138"/>
      <c r="B283" s="138"/>
      <c r="C283" s="138"/>
      <c r="D283" s="138"/>
      <c r="E283" s="138"/>
      <c r="F283" s="138"/>
      <c r="G283" s="138"/>
      <c r="H283" s="138"/>
      <c r="I283" s="138"/>
      <c r="J283" s="138"/>
      <c r="K283" s="138"/>
      <c r="L283" s="138"/>
      <c r="M283" s="138"/>
      <c r="N283" s="138"/>
      <c r="O283" s="138"/>
      <c r="P283" s="138"/>
    </row>
    <row r="284">
      <c r="A284" s="138"/>
      <c r="B284" s="138"/>
      <c r="C284" s="138"/>
      <c r="D284" s="138"/>
      <c r="E284" s="138"/>
      <c r="F284" s="138"/>
      <c r="G284" s="138"/>
      <c r="H284" s="138"/>
      <c r="I284" s="138"/>
      <c r="J284" s="138"/>
      <c r="K284" s="138"/>
      <c r="L284" s="138"/>
      <c r="M284" s="138"/>
      <c r="N284" s="138"/>
      <c r="O284" s="138"/>
      <c r="P284" s="138"/>
    </row>
    <row r="285">
      <c r="A285" s="138"/>
      <c r="B285" s="138"/>
      <c r="C285" s="138"/>
      <c r="D285" s="138"/>
      <c r="E285" s="138"/>
      <c r="F285" s="138"/>
      <c r="G285" s="138"/>
      <c r="H285" s="138"/>
      <c r="I285" s="138"/>
      <c r="J285" s="138"/>
      <c r="K285" s="138"/>
      <c r="L285" s="138"/>
      <c r="M285" s="138"/>
      <c r="N285" s="138"/>
      <c r="O285" s="138"/>
      <c r="P285" s="138"/>
    </row>
    <row r="286">
      <c r="A286" s="138"/>
      <c r="B286" s="138"/>
      <c r="C286" s="138"/>
      <c r="D286" s="138"/>
      <c r="E286" s="138"/>
      <c r="F286" s="138"/>
      <c r="G286" s="138"/>
      <c r="H286" s="138"/>
      <c r="I286" s="138"/>
      <c r="J286" s="138"/>
      <c r="K286" s="138"/>
      <c r="L286" s="138"/>
      <c r="M286" s="138"/>
      <c r="N286" s="138"/>
      <c r="O286" s="138"/>
      <c r="P286" s="138"/>
    </row>
    <row r="287">
      <c r="A287" s="138"/>
      <c r="B287" s="138"/>
      <c r="C287" s="138"/>
      <c r="D287" s="138"/>
      <c r="E287" s="138"/>
      <c r="F287" s="138"/>
      <c r="G287" s="138"/>
      <c r="H287" s="138"/>
      <c r="I287" s="138"/>
      <c r="J287" s="138"/>
      <c r="K287" s="138"/>
      <c r="L287" s="138"/>
      <c r="M287" s="138"/>
      <c r="N287" s="138"/>
      <c r="O287" s="138"/>
      <c r="P287" s="138"/>
    </row>
    <row r="288">
      <c r="A288" s="138"/>
      <c r="B288" s="138"/>
      <c r="C288" s="138"/>
      <c r="D288" s="138"/>
      <c r="E288" s="138"/>
      <c r="F288" s="138"/>
      <c r="G288" s="138"/>
      <c r="H288" s="138"/>
      <c r="I288" s="138"/>
      <c r="J288" s="138"/>
      <c r="K288" s="138"/>
      <c r="L288" s="138"/>
      <c r="M288" s="138"/>
      <c r="N288" s="138"/>
      <c r="O288" s="138"/>
      <c r="P288" s="138"/>
    </row>
    <row r="289">
      <c r="A289" s="138"/>
      <c r="B289" s="138"/>
      <c r="C289" s="138"/>
      <c r="D289" s="138"/>
      <c r="E289" s="138"/>
      <c r="F289" s="138"/>
      <c r="G289" s="138"/>
      <c r="H289" s="138"/>
      <c r="I289" s="138"/>
      <c r="J289" s="138"/>
      <c r="K289" s="138"/>
      <c r="L289" s="138"/>
      <c r="M289" s="138"/>
      <c r="N289" s="138"/>
      <c r="O289" s="138"/>
      <c r="P289" s="138"/>
    </row>
    <row r="290">
      <c r="A290" s="138"/>
      <c r="B290" s="138"/>
      <c r="C290" s="138"/>
      <c r="D290" s="138"/>
      <c r="E290" s="138"/>
      <c r="F290" s="138"/>
      <c r="G290" s="138"/>
      <c r="H290" s="138"/>
      <c r="I290" s="138"/>
      <c r="J290" s="138"/>
      <c r="K290" s="138"/>
      <c r="L290" s="138"/>
      <c r="M290" s="138"/>
      <c r="N290" s="138"/>
      <c r="O290" s="138"/>
      <c r="P290" s="138"/>
    </row>
    <row r="291">
      <c r="A291" s="138"/>
      <c r="B291" s="138"/>
      <c r="C291" s="138"/>
      <c r="D291" s="138"/>
      <c r="E291" s="138"/>
      <c r="F291" s="138"/>
      <c r="G291" s="138"/>
      <c r="H291" s="138"/>
      <c r="I291" s="138"/>
      <c r="J291" s="138"/>
      <c r="K291" s="138"/>
      <c r="L291" s="138"/>
      <c r="M291" s="138"/>
      <c r="N291" s="138"/>
      <c r="O291" s="138"/>
      <c r="P291" s="138"/>
    </row>
    <row r="292">
      <c r="A292" s="138"/>
      <c r="B292" s="138"/>
      <c r="C292" s="138"/>
      <c r="D292" s="138"/>
      <c r="E292" s="138"/>
      <c r="F292" s="138"/>
      <c r="G292" s="138"/>
      <c r="H292" s="138"/>
      <c r="I292" s="138"/>
      <c r="J292" s="138"/>
      <c r="K292" s="138"/>
      <c r="L292" s="138"/>
      <c r="M292" s="138"/>
      <c r="N292" s="138"/>
      <c r="O292" s="138"/>
      <c r="P292" s="138"/>
    </row>
    <row r="293">
      <c r="A293" s="138"/>
      <c r="B293" s="138"/>
      <c r="C293" s="138"/>
      <c r="D293" s="138"/>
      <c r="E293" s="138"/>
      <c r="F293" s="138"/>
      <c r="G293" s="138"/>
      <c r="H293" s="138"/>
      <c r="I293" s="138"/>
      <c r="J293" s="138"/>
      <c r="K293" s="138"/>
      <c r="L293" s="138"/>
      <c r="M293" s="138"/>
      <c r="N293" s="138"/>
      <c r="O293" s="138"/>
      <c r="P293" s="138"/>
    </row>
    <row r="294">
      <c r="A294" s="138"/>
      <c r="B294" s="138"/>
      <c r="C294" s="138"/>
      <c r="D294" s="138"/>
      <c r="E294" s="138"/>
      <c r="F294" s="138"/>
      <c r="G294" s="138"/>
      <c r="H294" s="138"/>
      <c r="I294" s="138"/>
      <c r="J294" s="138"/>
      <c r="K294" s="138"/>
      <c r="L294" s="138"/>
      <c r="M294" s="138"/>
      <c r="N294" s="138"/>
      <c r="O294" s="138"/>
      <c r="P294" s="138"/>
    </row>
    <row r="295">
      <c r="A295" s="138"/>
      <c r="B295" s="138"/>
      <c r="C295" s="138"/>
      <c r="D295" s="138"/>
      <c r="E295" s="138"/>
      <c r="F295" s="138"/>
      <c r="G295" s="138"/>
      <c r="H295" s="138"/>
      <c r="I295" s="138"/>
      <c r="J295" s="138"/>
      <c r="K295" s="138"/>
      <c r="L295" s="138"/>
      <c r="M295" s="138"/>
      <c r="N295" s="138"/>
      <c r="O295" s="138"/>
      <c r="P295" s="138"/>
    </row>
    <row r="296">
      <c r="A296" s="138"/>
      <c r="B296" s="138"/>
      <c r="C296" s="138"/>
      <c r="D296" s="138"/>
      <c r="E296" s="138"/>
      <c r="F296" s="138"/>
      <c r="G296" s="138"/>
      <c r="H296" s="138"/>
      <c r="I296" s="138"/>
      <c r="J296" s="138"/>
      <c r="K296" s="138"/>
      <c r="L296" s="138"/>
      <c r="M296" s="138"/>
      <c r="N296" s="138"/>
      <c r="O296" s="138"/>
      <c r="P296" s="138"/>
    </row>
    <row r="297">
      <c r="A297" s="138"/>
      <c r="B297" s="138"/>
      <c r="C297" s="138"/>
      <c r="D297" s="138"/>
      <c r="E297" s="138"/>
      <c r="F297" s="138"/>
      <c r="G297" s="138"/>
      <c r="H297" s="138"/>
      <c r="I297" s="138"/>
      <c r="J297" s="138"/>
      <c r="K297" s="138"/>
      <c r="L297" s="138"/>
      <c r="M297" s="138"/>
      <c r="N297" s="138"/>
      <c r="O297" s="138"/>
      <c r="P297" s="138"/>
    </row>
    <row r="298">
      <c r="A298" s="138"/>
      <c r="B298" s="138"/>
      <c r="C298" s="138"/>
      <c r="D298" s="138"/>
      <c r="E298" s="138"/>
      <c r="F298" s="138"/>
      <c r="G298" s="138"/>
      <c r="H298" s="138"/>
      <c r="I298" s="138"/>
      <c r="J298" s="138"/>
      <c r="K298" s="138"/>
      <c r="L298" s="138"/>
      <c r="M298" s="138"/>
      <c r="N298" s="138"/>
      <c r="O298" s="138"/>
      <c r="P298" s="138"/>
    </row>
    <row r="299">
      <c r="A299" s="138"/>
      <c r="B299" s="138"/>
      <c r="C299" s="138"/>
      <c r="D299" s="138"/>
      <c r="E299" s="138"/>
      <c r="F299" s="138"/>
      <c r="G299" s="138"/>
      <c r="H299" s="138"/>
      <c r="I299" s="138"/>
      <c r="J299" s="138"/>
      <c r="K299" s="138"/>
      <c r="L299" s="138"/>
      <c r="M299" s="138"/>
      <c r="N299" s="138"/>
      <c r="O299" s="138"/>
      <c r="P299" s="138"/>
    </row>
    <row r="300">
      <c r="A300" s="138"/>
      <c r="B300" s="138"/>
      <c r="C300" s="138"/>
      <c r="D300" s="138"/>
      <c r="E300" s="138"/>
      <c r="F300" s="138"/>
      <c r="G300" s="138"/>
      <c r="H300" s="138"/>
      <c r="I300" s="138"/>
      <c r="J300" s="138"/>
      <c r="K300" s="138"/>
      <c r="L300" s="138"/>
      <c r="M300" s="138"/>
      <c r="N300" s="138"/>
      <c r="O300" s="138"/>
      <c r="P300" s="138"/>
    </row>
    <row r="301">
      <c r="A301" s="138"/>
      <c r="B301" s="138"/>
      <c r="C301" s="138"/>
      <c r="D301" s="138"/>
      <c r="E301" s="138"/>
      <c r="F301" s="138"/>
      <c r="G301" s="138"/>
      <c r="H301" s="138"/>
      <c r="I301" s="138"/>
      <c r="J301" s="138"/>
      <c r="K301" s="138"/>
      <c r="L301" s="138"/>
      <c r="M301" s="138"/>
      <c r="N301" s="138"/>
      <c r="O301" s="138"/>
      <c r="P301" s="138"/>
    </row>
    <row r="302">
      <c r="A302" s="138"/>
      <c r="B302" s="138"/>
      <c r="C302" s="138"/>
      <c r="D302" s="138"/>
      <c r="E302" s="138"/>
      <c r="F302" s="138"/>
      <c r="G302" s="138"/>
      <c r="H302" s="138"/>
      <c r="I302" s="138"/>
      <c r="J302" s="138"/>
      <c r="K302" s="138"/>
      <c r="L302" s="138"/>
      <c r="M302" s="138"/>
      <c r="N302" s="138"/>
      <c r="O302" s="138"/>
      <c r="P302" s="138"/>
    </row>
    <row r="303">
      <c r="A303" s="138"/>
      <c r="B303" s="138"/>
      <c r="C303" s="138"/>
      <c r="D303" s="138"/>
      <c r="E303" s="138"/>
      <c r="F303" s="138"/>
      <c r="G303" s="138"/>
      <c r="H303" s="138"/>
      <c r="I303" s="138"/>
      <c r="J303" s="138"/>
      <c r="K303" s="138"/>
      <c r="L303" s="138"/>
      <c r="M303" s="138"/>
      <c r="N303" s="138"/>
      <c r="O303" s="138"/>
      <c r="P303" s="138"/>
    </row>
    <row r="304">
      <c r="A304" s="138"/>
      <c r="B304" s="138"/>
      <c r="C304" s="138"/>
      <c r="D304" s="138"/>
      <c r="E304" s="138"/>
      <c r="F304" s="138"/>
      <c r="G304" s="138"/>
      <c r="H304" s="138"/>
      <c r="I304" s="138"/>
      <c r="J304" s="138"/>
      <c r="K304" s="138"/>
      <c r="L304" s="138"/>
      <c r="M304" s="138"/>
      <c r="N304" s="138"/>
      <c r="O304" s="138"/>
      <c r="P304" s="138"/>
    </row>
    <row r="305">
      <c r="A305" s="138"/>
      <c r="B305" s="138"/>
      <c r="C305" s="138"/>
      <c r="D305" s="138"/>
      <c r="E305" s="138"/>
      <c r="F305" s="138"/>
      <c r="G305" s="138"/>
      <c r="H305" s="138"/>
      <c r="I305" s="138"/>
      <c r="J305" s="138"/>
      <c r="K305" s="138"/>
      <c r="L305" s="138"/>
      <c r="M305" s="138"/>
      <c r="N305" s="138"/>
      <c r="O305" s="138"/>
      <c r="P305" s="138"/>
    </row>
    <row r="306">
      <c r="A306" s="138"/>
      <c r="B306" s="138"/>
      <c r="C306" s="138"/>
      <c r="D306" s="138"/>
      <c r="E306" s="138"/>
      <c r="F306" s="138"/>
      <c r="G306" s="138"/>
      <c r="H306" s="138"/>
      <c r="I306" s="138"/>
      <c r="J306" s="138"/>
      <c r="K306" s="138"/>
      <c r="L306" s="138"/>
      <c r="M306" s="138"/>
      <c r="N306" s="138"/>
      <c r="O306" s="138"/>
      <c r="P306" s="138"/>
    </row>
    <row r="307">
      <c r="A307" s="138"/>
      <c r="B307" s="138"/>
      <c r="C307" s="138"/>
      <c r="D307" s="138"/>
      <c r="E307" s="138"/>
      <c r="F307" s="138"/>
      <c r="G307" s="138"/>
      <c r="H307" s="138"/>
      <c r="I307" s="138"/>
      <c r="J307" s="138"/>
      <c r="K307" s="138"/>
      <c r="L307" s="138"/>
      <c r="M307" s="138"/>
      <c r="N307" s="138"/>
      <c r="O307" s="138"/>
      <c r="P307" s="138"/>
    </row>
    <row r="308">
      <c r="A308" s="138"/>
      <c r="B308" s="138"/>
      <c r="C308" s="138"/>
      <c r="D308" s="138"/>
      <c r="E308" s="138"/>
      <c r="F308" s="138"/>
      <c r="G308" s="138"/>
      <c r="H308" s="138"/>
      <c r="I308" s="138"/>
      <c r="J308" s="138"/>
      <c r="K308" s="138"/>
      <c r="L308" s="138"/>
      <c r="M308" s="138"/>
      <c r="N308" s="138"/>
      <c r="O308" s="138"/>
      <c r="P308" s="138"/>
    </row>
    <row r="309">
      <c r="A309" s="138"/>
      <c r="B309" s="138"/>
      <c r="C309" s="138"/>
      <c r="D309" s="138"/>
      <c r="E309" s="138"/>
      <c r="F309" s="138"/>
      <c r="G309" s="138"/>
      <c r="H309" s="138"/>
      <c r="I309" s="138"/>
      <c r="J309" s="138"/>
      <c r="K309" s="138"/>
      <c r="L309" s="138"/>
      <c r="M309" s="138"/>
      <c r="N309" s="138"/>
      <c r="O309" s="138"/>
      <c r="P309" s="138"/>
    </row>
    <row r="310">
      <c r="A310" s="138"/>
      <c r="B310" s="138"/>
      <c r="C310" s="138"/>
      <c r="D310" s="138"/>
      <c r="E310" s="138"/>
      <c r="F310" s="138"/>
      <c r="G310" s="138"/>
      <c r="H310" s="138"/>
      <c r="I310" s="138"/>
      <c r="J310" s="138"/>
      <c r="K310" s="138"/>
      <c r="L310" s="138"/>
      <c r="M310" s="138"/>
      <c r="N310" s="138"/>
      <c r="O310" s="138"/>
      <c r="P310" s="138"/>
    </row>
    <row r="311">
      <c r="A311" s="138"/>
      <c r="B311" s="138"/>
      <c r="C311" s="138"/>
      <c r="D311" s="138"/>
      <c r="E311" s="138"/>
      <c r="F311" s="138"/>
      <c r="G311" s="138"/>
      <c r="H311" s="138"/>
      <c r="I311" s="138"/>
      <c r="J311" s="138"/>
      <c r="K311" s="138"/>
      <c r="L311" s="138"/>
      <c r="M311" s="138"/>
      <c r="N311" s="138"/>
      <c r="O311" s="138"/>
      <c r="P311" s="138"/>
    </row>
    <row r="312">
      <c r="A312" s="138"/>
      <c r="B312" s="138"/>
      <c r="C312" s="138"/>
      <c r="D312" s="138"/>
      <c r="E312" s="138"/>
      <c r="F312" s="138"/>
      <c r="G312" s="138"/>
      <c r="H312" s="138"/>
      <c r="I312" s="138"/>
      <c r="J312" s="138"/>
      <c r="K312" s="138"/>
      <c r="L312" s="138"/>
      <c r="M312" s="138"/>
      <c r="N312" s="138"/>
      <c r="O312" s="138"/>
      <c r="P312" s="138"/>
    </row>
    <row r="313">
      <c r="A313" s="138"/>
      <c r="B313" s="138"/>
      <c r="C313" s="138"/>
      <c r="D313" s="138"/>
      <c r="E313" s="138"/>
      <c r="F313" s="138"/>
      <c r="G313" s="138"/>
      <c r="H313" s="138"/>
      <c r="I313" s="138"/>
      <c r="J313" s="138"/>
      <c r="K313" s="138"/>
      <c r="L313" s="138"/>
      <c r="M313" s="138"/>
      <c r="N313" s="138"/>
      <c r="O313" s="138"/>
      <c r="P313" s="138"/>
    </row>
    <row r="314">
      <c r="A314" s="138"/>
      <c r="B314" s="138"/>
      <c r="C314" s="138"/>
      <c r="D314" s="138"/>
      <c r="E314" s="138"/>
      <c r="F314" s="138"/>
      <c r="G314" s="138"/>
      <c r="H314" s="138"/>
      <c r="I314" s="138"/>
      <c r="J314" s="138"/>
      <c r="K314" s="138"/>
      <c r="L314" s="138"/>
      <c r="M314" s="138"/>
      <c r="N314" s="138"/>
      <c r="O314" s="138"/>
      <c r="P314" s="138"/>
    </row>
    <row r="315">
      <c r="A315" s="138"/>
      <c r="B315" s="138"/>
      <c r="C315" s="138"/>
      <c r="D315" s="138"/>
      <c r="E315" s="138"/>
      <c r="F315" s="138"/>
      <c r="G315" s="138"/>
      <c r="H315" s="138"/>
      <c r="I315" s="138"/>
      <c r="J315" s="138"/>
      <c r="K315" s="138"/>
      <c r="L315" s="138"/>
      <c r="M315" s="138"/>
      <c r="N315" s="138"/>
      <c r="O315" s="138"/>
      <c r="P315" s="138"/>
    </row>
    <row r="316">
      <c r="A316" s="138"/>
      <c r="B316" s="138"/>
      <c r="C316" s="138"/>
      <c r="D316" s="138"/>
      <c r="E316" s="138"/>
      <c r="F316" s="138"/>
      <c r="G316" s="138"/>
      <c r="H316" s="138"/>
      <c r="I316" s="138"/>
      <c r="J316" s="138"/>
      <c r="K316" s="138"/>
      <c r="L316" s="138"/>
      <c r="M316" s="138"/>
      <c r="N316" s="138"/>
      <c r="O316" s="138"/>
      <c r="P316" s="138"/>
    </row>
    <row r="317">
      <c r="A317" s="138"/>
      <c r="B317" s="138"/>
      <c r="C317" s="138"/>
      <c r="D317" s="138"/>
      <c r="E317" s="138"/>
      <c r="F317" s="138"/>
      <c r="G317" s="138"/>
      <c r="H317" s="138"/>
      <c r="I317" s="138"/>
      <c r="J317" s="138"/>
      <c r="K317" s="138"/>
      <c r="L317" s="138"/>
      <c r="M317" s="138"/>
      <c r="N317" s="138"/>
      <c r="O317" s="138"/>
      <c r="P317" s="138"/>
    </row>
    <row r="318">
      <c r="A318" s="138"/>
      <c r="B318" s="138"/>
      <c r="C318" s="138"/>
      <c r="D318" s="138"/>
      <c r="E318" s="138"/>
      <c r="F318" s="138"/>
      <c r="G318" s="138"/>
      <c r="H318" s="138"/>
      <c r="I318" s="138"/>
      <c r="J318" s="138"/>
      <c r="K318" s="138"/>
      <c r="L318" s="138"/>
      <c r="M318" s="138"/>
      <c r="N318" s="138"/>
      <c r="O318" s="138"/>
      <c r="P318" s="138"/>
    </row>
    <row r="319">
      <c r="A319" s="138"/>
      <c r="B319" s="138"/>
      <c r="C319" s="138"/>
      <c r="D319" s="138"/>
      <c r="E319" s="138"/>
      <c r="F319" s="138"/>
      <c r="G319" s="138"/>
      <c r="H319" s="138"/>
      <c r="I319" s="138"/>
      <c r="J319" s="138"/>
      <c r="K319" s="138"/>
      <c r="L319" s="138"/>
      <c r="M319" s="138"/>
      <c r="N319" s="138"/>
      <c r="O319" s="138"/>
      <c r="P319" s="138"/>
    </row>
    <row r="320">
      <c r="A320" s="138"/>
      <c r="B320" s="138"/>
      <c r="C320" s="138"/>
      <c r="D320" s="138"/>
      <c r="E320" s="138"/>
      <c r="F320" s="138"/>
      <c r="G320" s="138"/>
      <c r="H320" s="138"/>
      <c r="I320" s="138"/>
      <c r="J320" s="138"/>
      <c r="K320" s="138"/>
      <c r="L320" s="138"/>
      <c r="M320" s="138"/>
      <c r="N320" s="138"/>
      <c r="O320" s="138"/>
      <c r="P320" s="138"/>
    </row>
    <row r="321">
      <c r="A321" s="138"/>
      <c r="B321" s="138"/>
      <c r="C321" s="138"/>
      <c r="D321" s="138"/>
      <c r="E321" s="138"/>
      <c r="F321" s="138"/>
      <c r="G321" s="138"/>
      <c r="H321" s="138"/>
      <c r="I321" s="138"/>
      <c r="J321" s="138"/>
      <c r="K321" s="138"/>
      <c r="L321" s="138"/>
      <c r="M321" s="138"/>
      <c r="N321" s="138"/>
      <c r="O321" s="138"/>
      <c r="P321" s="138"/>
    </row>
    <row r="322">
      <c r="A322" s="138"/>
      <c r="B322" s="138"/>
      <c r="C322" s="138"/>
      <c r="D322" s="138"/>
      <c r="E322" s="138"/>
      <c r="F322" s="138"/>
      <c r="G322" s="138"/>
      <c r="H322" s="138"/>
      <c r="I322" s="138"/>
      <c r="J322" s="138"/>
      <c r="K322" s="138"/>
      <c r="L322" s="138"/>
      <c r="M322" s="138"/>
      <c r="N322" s="138"/>
      <c r="O322" s="138"/>
      <c r="P322" s="138"/>
    </row>
    <row r="323">
      <c r="A323" s="138"/>
      <c r="B323" s="138"/>
      <c r="C323" s="138"/>
      <c r="D323" s="138"/>
      <c r="E323" s="138"/>
      <c r="F323" s="138"/>
      <c r="G323" s="138"/>
      <c r="H323" s="138"/>
      <c r="I323" s="138"/>
      <c r="J323" s="138"/>
      <c r="K323" s="138"/>
      <c r="L323" s="138"/>
      <c r="M323" s="138"/>
      <c r="N323" s="138"/>
      <c r="O323" s="138"/>
      <c r="P323" s="138"/>
    </row>
    <row r="324">
      <c r="A324" s="138"/>
      <c r="B324" s="138"/>
      <c r="C324" s="138"/>
      <c r="D324" s="138"/>
      <c r="E324" s="138"/>
      <c r="F324" s="138"/>
      <c r="G324" s="138"/>
      <c r="H324" s="138"/>
      <c r="I324" s="138"/>
      <c r="J324" s="138"/>
      <c r="K324" s="138"/>
      <c r="L324" s="138"/>
      <c r="M324" s="138"/>
      <c r="N324" s="138"/>
      <c r="O324" s="138"/>
      <c r="P324" s="138"/>
    </row>
    <row r="325">
      <c r="A325" s="138"/>
      <c r="B325" s="138"/>
      <c r="C325" s="138"/>
      <c r="D325" s="138"/>
      <c r="E325" s="138"/>
      <c r="F325" s="138"/>
      <c r="G325" s="138"/>
      <c r="H325" s="138"/>
      <c r="I325" s="138"/>
      <c r="J325" s="138"/>
      <c r="K325" s="138"/>
      <c r="L325" s="138"/>
      <c r="M325" s="138"/>
      <c r="N325" s="138"/>
      <c r="O325" s="138"/>
      <c r="P325" s="138"/>
    </row>
    <row r="326">
      <c r="A326" s="138"/>
      <c r="B326" s="138"/>
      <c r="C326" s="138"/>
      <c r="D326" s="138"/>
      <c r="E326" s="138"/>
      <c r="F326" s="138"/>
      <c r="G326" s="138"/>
      <c r="H326" s="138"/>
      <c r="I326" s="138"/>
      <c r="J326" s="138"/>
      <c r="K326" s="138"/>
      <c r="L326" s="138"/>
      <c r="M326" s="138"/>
      <c r="N326" s="138"/>
      <c r="O326" s="138"/>
      <c r="P326" s="138"/>
    </row>
    <row r="327">
      <c r="A327" s="138"/>
      <c r="B327" s="138"/>
      <c r="C327" s="138"/>
      <c r="D327" s="138"/>
      <c r="E327" s="138"/>
      <c r="F327" s="138"/>
      <c r="G327" s="138"/>
      <c r="H327" s="138"/>
      <c r="I327" s="138"/>
      <c r="J327" s="138"/>
      <c r="K327" s="138"/>
      <c r="L327" s="138"/>
      <c r="M327" s="138"/>
      <c r="N327" s="138"/>
      <c r="O327" s="138"/>
      <c r="P327" s="138"/>
    </row>
    <row r="328">
      <c r="A328" s="138"/>
      <c r="B328" s="138"/>
      <c r="C328" s="138"/>
      <c r="D328" s="138"/>
      <c r="E328" s="138"/>
      <c r="F328" s="138"/>
      <c r="G328" s="138"/>
      <c r="H328" s="138"/>
      <c r="I328" s="138"/>
      <c r="J328" s="138"/>
      <c r="K328" s="138"/>
      <c r="L328" s="138"/>
      <c r="M328" s="138"/>
      <c r="N328" s="138"/>
      <c r="O328" s="138"/>
      <c r="P328" s="138"/>
    </row>
    <row r="329">
      <c r="A329" s="138"/>
      <c r="B329" s="138"/>
      <c r="C329" s="138"/>
      <c r="D329" s="138"/>
      <c r="E329" s="138"/>
      <c r="F329" s="138"/>
      <c r="G329" s="138"/>
      <c r="H329" s="138"/>
      <c r="I329" s="138"/>
      <c r="J329" s="138"/>
      <c r="K329" s="138"/>
      <c r="L329" s="138"/>
      <c r="M329" s="138"/>
      <c r="N329" s="138"/>
      <c r="O329" s="138"/>
      <c r="P329" s="138"/>
    </row>
    <row r="330">
      <c r="A330" s="138"/>
      <c r="B330" s="138"/>
      <c r="C330" s="138"/>
      <c r="D330" s="138"/>
      <c r="E330" s="138"/>
      <c r="F330" s="138"/>
      <c r="G330" s="138"/>
      <c r="H330" s="138"/>
      <c r="I330" s="138"/>
      <c r="J330" s="138"/>
      <c r="K330" s="138"/>
      <c r="L330" s="138"/>
      <c r="M330" s="138"/>
      <c r="N330" s="138"/>
      <c r="O330" s="138"/>
      <c r="P330" s="138"/>
    </row>
    <row r="331">
      <c r="A331" s="138"/>
      <c r="B331" s="138"/>
      <c r="C331" s="138"/>
      <c r="D331" s="138"/>
      <c r="E331" s="138"/>
      <c r="F331" s="138"/>
      <c r="G331" s="138"/>
      <c r="H331" s="138"/>
      <c r="I331" s="138"/>
      <c r="J331" s="138"/>
      <c r="K331" s="138"/>
      <c r="L331" s="138"/>
      <c r="M331" s="138"/>
      <c r="N331" s="138"/>
      <c r="O331" s="138"/>
      <c r="P331" s="138"/>
    </row>
    <row r="332">
      <c r="A332" s="138"/>
      <c r="B332" s="138"/>
      <c r="C332" s="138"/>
      <c r="D332" s="138"/>
      <c r="E332" s="138"/>
      <c r="F332" s="138"/>
      <c r="G332" s="138"/>
      <c r="H332" s="138"/>
      <c r="I332" s="138"/>
      <c r="J332" s="138"/>
      <c r="K332" s="138"/>
      <c r="L332" s="138"/>
      <c r="M332" s="138"/>
      <c r="N332" s="138"/>
      <c r="O332" s="138"/>
      <c r="P332" s="138"/>
    </row>
    <row r="333">
      <c r="A333" s="138"/>
      <c r="B333" s="138"/>
      <c r="C333" s="138"/>
      <c r="D333" s="138"/>
      <c r="E333" s="138"/>
      <c r="F333" s="138"/>
      <c r="G333" s="138"/>
      <c r="H333" s="138"/>
      <c r="I333" s="138"/>
      <c r="J333" s="138"/>
      <c r="K333" s="138"/>
      <c r="L333" s="138"/>
      <c r="M333" s="138"/>
      <c r="N333" s="138"/>
      <c r="O333" s="138"/>
      <c r="P333" s="138"/>
    </row>
    <row r="334">
      <c r="A334" s="138"/>
      <c r="B334" s="138"/>
      <c r="C334" s="138"/>
      <c r="D334" s="138"/>
      <c r="E334" s="138"/>
      <c r="F334" s="138"/>
      <c r="G334" s="138"/>
      <c r="H334" s="138"/>
      <c r="I334" s="138"/>
      <c r="J334" s="138"/>
      <c r="K334" s="138"/>
      <c r="L334" s="138"/>
      <c r="M334" s="138"/>
      <c r="N334" s="138"/>
      <c r="O334" s="138"/>
      <c r="P334" s="138"/>
    </row>
    <row r="335">
      <c r="A335" s="138"/>
      <c r="B335" s="138"/>
      <c r="C335" s="138"/>
      <c r="D335" s="138"/>
      <c r="E335" s="138"/>
      <c r="F335" s="138"/>
      <c r="G335" s="138"/>
      <c r="H335" s="138"/>
      <c r="I335" s="138"/>
      <c r="J335" s="138"/>
      <c r="K335" s="138"/>
      <c r="L335" s="138"/>
      <c r="M335" s="138"/>
      <c r="N335" s="138"/>
      <c r="O335" s="138"/>
      <c r="P335" s="138"/>
    </row>
    <row r="336">
      <c r="A336" s="138"/>
      <c r="B336" s="138"/>
      <c r="C336" s="138"/>
      <c r="D336" s="138"/>
      <c r="E336" s="138"/>
      <c r="F336" s="138"/>
      <c r="G336" s="138"/>
      <c r="H336" s="138"/>
      <c r="I336" s="138"/>
      <c r="J336" s="138"/>
      <c r="K336" s="138"/>
      <c r="L336" s="138"/>
      <c r="M336" s="138"/>
      <c r="N336" s="138"/>
      <c r="O336" s="138"/>
      <c r="P336" s="138"/>
    </row>
    <row r="337">
      <c r="A337" s="138"/>
      <c r="B337" s="138"/>
      <c r="C337" s="138"/>
      <c r="D337" s="138"/>
      <c r="E337" s="138"/>
      <c r="F337" s="138"/>
      <c r="G337" s="138"/>
      <c r="H337" s="138"/>
      <c r="I337" s="138"/>
      <c r="J337" s="138"/>
      <c r="K337" s="138"/>
      <c r="L337" s="138"/>
      <c r="M337" s="138"/>
      <c r="N337" s="138"/>
      <c r="O337" s="138"/>
      <c r="P337" s="138"/>
    </row>
    <row r="338">
      <c r="A338" s="138"/>
      <c r="B338" s="138"/>
      <c r="C338" s="138"/>
      <c r="D338" s="138"/>
      <c r="E338" s="138"/>
      <c r="F338" s="138"/>
      <c r="G338" s="138"/>
      <c r="H338" s="138"/>
      <c r="I338" s="138"/>
      <c r="J338" s="138"/>
      <c r="K338" s="138"/>
      <c r="L338" s="138"/>
      <c r="M338" s="138"/>
      <c r="N338" s="138"/>
      <c r="O338" s="138"/>
      <c r="P338" s="138"/>
    </row>
    <row r="339">
      <c r="A339" s="138"/>
      <c r="B339" s="138"/>
      <c r="C339" s="138"/>
      <c r="D339" s="138"/>
      <c r="E339" s="138"/>
      <c r="F339" s="138"/>
      <c r="G339" s="138"/>
      <c r="H339" s="138"/>
      <c r="I339" s="138"/>
      <c r="J339" s="138"/>
      <c r="K339" s="138"/>
      <c r="L339" s="138"/>
      <c r="M339" s="138"/>
      <c r="N339" s="138"/>
      <c r="O339" s="138"/>
      <c r="P339" s="138"/>
    </row>
    <row r="340">
      <c r="A340" s="138"/>
      <c r="B340" s="138"/>
      <c r="C340" s="138"/>
      <c r="D340" s="138"/>
      <c r="E340" s="138"/>
      <c r="F340" s="138"/>
      <c r="G340" s="138"/>
      <c r="H340" s="138"/>
      <c r="I340" s="138"/>
      <c r="J340" s="138"/>
      <c r="K340" s="138"/>
      <c r="L340" s="138"/>
      <c r="M340" s="138"/>
      <c r="N340" s="138"/>
      <c r="O340" s="138"/>
      <c r="P340" s="138"/>
    </row>
    <row r="341">
      <c r="A341" s="138"/>
      <c r="B341" s="138"/>
      <c r="C341" s="138"/>
      <c r="D341" s="138"/>
      <c r="E341" s="138"/>
      <c r="F341" s="138"/>
      <c r="G341" s="138"/>
      <c r="H341" s="138"/>
      <c r="I341" s="138"/>
      <c r="J341" s="138"/>
      <c r="K341" s="138"/>
      <c r="L341" s="138"/>
      <c r="M341" s="138"/>
      <c r="N341" s="138"/>
      <c r="O341" s="138"/>
      <c r="P341" s="138"/>
    </row>
    <row r="342">
      <c r="A342" s="138"/>
      <c r="B342" s="138"/>
      <c r="C342" s="138"/>
      <c r="D342" s="138"/>
      <c r="E342" s="138"/>
      <c r="F342" s="138"/>
      <c r="G342" s="138"/>
      <c r="H342" s="138"/>
      <c r="I342" s="138"/>
      <c r="J342" s="138"/>
      <c r="K342" s="138"/>
      <c r="L342" s="138"/>
      <c r="M342" s="138"/>
      <c r="N342" s="138"/>
      <c r="O342" s="138"/>
      <c r="P342" s="138"/>
    </row>
    <row r="343">
      <c r="A343" s="138"/>
      <c r="B343" s="138"/>
      <c r="C343" s="138"/>
      <c r="D343" s="138"/>
      <c r="E343" s="138"/>
      <c r="F343" s="138"/>
      <c r="G343" s="138"/>
      <c r="H343" s="138"/>
      <c r="I343" s="138"/>
      <c r="J343" s="138"/>
      <c r="K343" s="138"/>
      <c r="L343" s="138"/>
      <c r="M343" s="138"/>
      <c r="N343" s="138"/>
      <c r="O343" s="138"/>
      <c r="P343" s="138"/>
    </row>
    <row r="344">
      <c r="A344" s="138"/>
      <c r="B344" s="138"/>
      <c r="C344" s="138"/>
      <c r="D344" s="138"/>
      <c r="E344" s="138"/>
      <c r="F344" s="138"/>
      <c r="G344" s="138"/>
      <c r="H344" s="138"/>
      <c r="I344" s="138"/>
      <c r="J344" s="138"/>
      <c r="K344" s="138"/>
      <c r="L344" s="138"/>
      <c r="M344" s="138"/>
      <c r="N344" s="138"/>
      <c r="O344" s="138"/>
      <c r="P344" s="138"/>
    </row>
    <row r="345">
      <c r="A345" s="138"/>
      <c r="B345" s="138"/>
      <c r="C345" s="138"/>
      <c r="D345" s="138"/>
      <c r="E345" s="138"/>
      <c r="F345" s="138"/>
      <c r="G345" s="138"/>
      <c r="H345" s="138"/>
      <c r="I345" s="138"/>
      <c r="J345" s="138"/>
      <c r="K345" s="138"/>
      <c r="L345" s="138"/>
      <c r="M345" s="138"/>
      <c r="N345" s="138"/>
      <c r="O345" s="138"/>
      <c r="P345" s="138"/>
    </row>
    <row r="346">
      <c r="A346" s="138"/>
      <c r="B346" s="138"/>
      <c r="C346" s="138"/>
      <c r="D346" s="138"/>
      <c r="E346" s="138"/>
      <c r="F346" s="138"/>
      <c r="G346" s="138"/>
      <c r="H346" s="138"/>
      <c r="I346" s="138"/>
      <c r="J346" s="138"/>
      <c r="K346" s="138"/>
      <c r="L346" s="138"/>
      <c r="M346" s="138"/>
      <c r="N346" s="138"/>
      <c r="O346" s="138"/>
      <c r="P346" s="138"/>
    </row>
    <row r="347">
      <c r="A347" s="138"/>
      <c r="B347" s="138"/>
      <c r="C347" s="138"/>
      <c r="D347" s="138"/>
      <c r="E347" s="138"/>
      <c r="F347" s="138"/>
      <c r="G347" s="138"/>
      <c r="H347" s="138"/>
      <c r="I347" s="138"/>
      <c r="J347" s="138"/>
      <c r="K347" s="138"/>
      <c r="L347" s="138"/>
      <c r="M347" s="138"/>
      <c r="N347" s="138"/>
      <c r="O347" s="138"/>
      <c r="P347" s="138"/>
    </row>
    <row r="348">
      <c r="A348" s="138"/>
      <c r="B348" s="138"/>
      <c r="C348" s="138"/>
      <c r="D348" s="138"/>
      <c r="E348" s="138"/>
      <c r="F348" s="138"/>
      <c r="G348" s="138"/>
      <c r="H348" s="138"/>
      <c r="I348" s="138"/>
      <c r="J348" s="138"/>
      <c r="K348" s="138"/>
      <c r="L348" s="138"/>
      <c r="M348" s="138"/>
      <c r="N348" s="138"/>
      <c r="O348" s="138"/>
      <c r="P348" s="138"/>
    </row>
    <row r="349">
      <c r="A349" s="138"/>
      <c r="B349" s="138"/>
      <c r="C349" s="138"/>
      <c r="D349" s="138"/>
      <c r="E349" s="138"/>
      <c r="F349" s="138"/>
      <c r="G349" s="138"/>
      <c r="H349" s="138"/>
      <c r="I349" s="138"/>
      <c r="J349" s="138"/>
      <c r="K349" s="138"/>
      <c r="L349" s="138"/>
      <c r="M349" s="138"/>
      <c r="N349" s="138"/>
      <c r="O349" s="138"/>
      <c r="P349" s="138"/>
    </row>
    <row r="350">
      <c r="A350" s="138"/>
      <c r="B350" s="138"/>
      <c r="C350" s="138"/>
      <c r="D350" s="138"/>
      <c r="E350" s="138"/>
      <c r="F350" s="138"/>
      <c r="G350" s="138"/>
      <c r="H350" s="138"/>
      <c r="I350" s="138"/>
      <c r="J350" s="138"/>
      <c r="K350" s="138"/>
      <c r="L350" s="138"/>
      <c r="M350" s="138"/>
      <c r="N350" s="138"/>
      <c r="O350" s="138"/>
      <c r="P350" s="138"/>
    </row>
    <row r="351">
      <c r="A351" s="138"/>
      <c r="B351" s="138"/>
      <c r="C351" s="138"/>
      <c r="D351" s="138"/>
      <c r="E351" s="138"/>
      <c r="F351" s="138"/>
      <c r="G351" s="138"/>
      <c r="H351" s="138"/>
      <c r="I351" s="138"/>
      <c r="J351" s="138"/>
      <c r="K351" s="138"/>
      <c r="L351" s="138"/>
      <c r="M351" s="138"/>
      <c r="N351" s="138"/>
      <c r="O351" s="138"/>
      <c r="P351" s="138"/>
    </row>
    <row r="352">
      <c r="A352" s="138"/>
      <c r="B352" s="138"/>
      <c r="C352" s="138"/>
      <c r="D352" s="138"/>
      <c r="E352" s="138"/>
      <c r="F352" s="138"/>
      <c r="G352" s="138"/>
      <c r="H352" s="138"/>
      <c r="I352" s="138"/>
      <c r="J352" s="138"/>
      <c r="K352" s="138"/>
      <c r="L352" s="138"/>
      <c r="M352" s="138"/>
      <c r="N352" s="138"/>
      <c r="O352" s="138"/>
      <c r="P352" s="138"/>
    </row>
    <row r="353">
      <c r="A353" s="138"/>
      <c r="B353" s="138"/>
      <c r="C353" s="138"/>
      <c r="D353" s="138"/>
      <c r="E353" s="138"/>
      <c r="F353" s="138"/>
      <c r="G353" s="138"/>
      <c r="H353" s="138"/>
      <c r="I353" s="138"/>
      <c r="J353" s="138"/>
      <c r="K353" s="138"/>
      <c r="L353" s="138"/>
      <c r="M353" s="138"/>
      <c r="N353" s="138"/>
      <c r="O353" s="138"/>
      <c r="P353" s="138"/>
    </row>
    <row r="354">
      <c r="A354" s="138"/>
      <c r="B354" s="138"/>
      <c r="C354" s="138"/>
      <c r="D354" s="138"/>
      <c r="E354" s="138"/>
      <c r="F354" s="138"/>
      <c r="G354" s="138"/>
      <c r="H354" s="138"/>
      <c r="I354" s="138"/>
      <c r="J354" s="138"/>
      <c r="K354" s="138"/>
      <c r="L354" s="138"/>
      <c r="M354" s="138"/>
      <c r="N354" s="138"/>
      <c r="O354" s="138"/>
      <c r="P354" s="138"/>
    </row>
    <row r="355">
      <c r="A355" s="138"/>
      <c r="B355" s="138"/>
      <c r="C355" s="138"/>
      <c r="D355" s="138"/>
      <c r="E355" s="138"/>
      <c r="F355" s="138"/>
      <c r="G355" s="138"/>
      <c r="H355" s="138"/>
      <c r="I355" s="138"/>
      <c r="J355" s="138"/>
      <c r="K355" s="138"/>
      <c r="L355" s="138"/>
      <c r="M355" s="138"/>
      <c r="N355" s="138"/>
      <c r="O355" s="138"/>
      <c r="P355" s="138"/>
    </row>
    <row r="356">
      <c r="A356" s="138"/>
      <c r="B356" s="138"/>
      <c r="C356" s="138"/>
      <c r="D356" s="138"/>
      <c r="E356" s="138"/>
      <c r="F356" s="138"/>
      <c r="G356" s="138"/>
      <c r="H356" s="138"/>
      <c r="I356" s="138"/>
      <c r="J356" s="138"/>
      <c r="K356" s="138"/>
      <c r="L356" s="138"/>
      <c r="M356" s="138"/>
      <c r="N356" s="138"/>
      <c r="O356" s="138"/>
      <c r="P356" s="138"/>
    </row>
    <row r="357">
      <c r="A357" s="138"/>
      <c r="B357" s="138"/>
      <c r="C357" s="138"/>
      <c r="D357" s="138"/>
      <c r="E357" s="138"/>
      <c r="F357" s="138"/>
      <c r="G357" s="138"/>
      <c r="H357" s="138"/>
      <c r="I357" s="138"/>
      <c r="J357" s="138"/>
      <c r="K357" s="138"/>
      <c r="L357" s="138"/>
      <c r="M357" s="138"/>
      <c r="N357" s="138"/>
      <c r="O357" s="138"/>
      <c r="P357" s="138"/>
    </row>
    <row r="358">
      <c r="A358" s="138"/>
      <c r="B358" s="138"/>
      <c r="C358" s="138"/>
      <c r="D358" s="138"/>
      <c r="E358" s="138"/>
      <c r="F358" s="138"/>
      <c r="G358" s="138"/>
      <c r="H358" s="138"/>
      <c r="I358" s="138"/>
      <c r="J358" s="138"/>
      <c r="K358" s="138"/>
      <c r="L358" s="138"/>
      <c r="M358" s="138"/>
      <c r="N358" s="138"/>
      <c r="O358" s="138"/>
      <c r="P358" s="138"/>
    </row>
    <row r="359">
      <c r="A359" s="138"/>
      <c r="B359" s="138"/>
      <c r="C359" s="138"/>
      <c r="D359" s="138"/>
      <c r="E359" s="138"/>
      <c r="F359" s="138"/>
      <c r="G359" s="138"/>
      <c r="H359" s="138"/>
      <c r="I359" s="138"/>
      <c r="J359" s="138"/>
      <c r="K359" s="138"/>
      <c r="L359" s="138"/>
      <c r="M359" s="138"/>
      <c r="N359" s="138"/>
      <c r="O359" s="138"/>
      <c r="P359" s="138"/>
    </row>
    <row r="360">
      <c r="A360" s="138"/>
      <c r="B360" s="138"/>
      <c r="C360" s="138"/>
      <c r="D360" s="138"/>
      <c r="E360" s="138"/>
      <c r="F360" s="138"/>
      <c r="G360" s="138"/>
      <c r="H360" s="138"/>
      <c r="I360" s="138"/>
      <c r="J360" s="138"/>
      <c r="K360" s="138"/>
      <c r="L360" s="138"/>
      <c r="M360" s="138"/>
      <c r="N360" s="138"/>
      <c r="O360" s="138"/>
      <c r="P360" s="138"/>
    </row>
    <row r="361">
      <c r="A361" s="138"/>
      <c r="B361" s="138"/>
      <c r="C361" s="138"/>
      <c r="D361" s="138"/>
      <c r="E361" s="138"/>
      <c r="F361" s="138"/>
      <c r="G361" s="138"/>
      <c r="H361" s="138"/>
      <c r="I361" s="138"/>
      <c r="J361" s="138"/>
      <c r="K361" s="138"/>
      <c r="L361" s="138"/>
      <c r="M361" s="138"/>
      <c r="N361" s="138"/>
      <c r="O361" s="138"/>
      <c r="P361" s="138"/>
    </row>
    <row r="362">
      <c r="A362" s="138"/>
      <c r="B362" s="138"/>
      <c r="C362" s="138"/>
      <c r="D362" s="138"/>
      <c r="E362" s="138"/>
      <c r="F362" s="138"/>
      <c r="G362" s="138"/>
      <c r="H362" s="138"/>
      <c r="I362" s="138"/>
      <c r="J362" s="138"/>
      <c r="K362" s="138"/>
      <c r="L362" s="138"/>
      <c r="M362" s="138"/>
      <c r="N362" s="138"/>
      <c r="O362" s="138"/>
      <c r="P362" s="138"/>
    </row>
    <row r="363">
      <c r="A363" s="138"/>
      <c r="B363" s="138"/>
      <c r="C363" s="138"/>
      <c r="D363" s="138"/>
      <c r="E363" s="138"/>
      <c r="F363" s="138"/>
      <c r="G363" s="138"/>
      <c r="H363" s="138"/>
      <c r="I363" s="138"/>
      <c r="J363" s="138"/>
      <c r="K363" s="138"/>
      <c r="L363" s="138"/>
      <c r="M363" s="138"/>
      <c r="N363" s="138"/>
      <c r="O363" s="138"/>
      <c r="P363" s="138"/>
    </row>
    <row r="364">
      <c r="A364" s="138"/>
      <c r="B364" s="138"/>
      <c r="C364" s="138"/>
      <c r="D364" s="138"/>
      <c r="E364" s="138"/>
      <c r="F364" s="138"/>
      <c r="G364" s="138"/>
      <c r="H364" s="138"/>
      <c r="I364" s="138"/>
      <c r="J364" s="138"/>
      <c r="K364" s="138"/>
      <c r="L364" s="138"/>
      <c r="M364" s="138"/>
      <c r="N364" s="138"/>
      <c r="O364" s="138"/>
      <c r="P364" s="138"/>
    </row>
    <row r="365">
      <c r="A365" s="138"/>
      <c r="B365" s="138"/>
      <c r="C365" s="138"/>
      <c r="D365" s="138"/>
      <c r="E365" s="138"/>
      <c r="F365" s="138"/>
      <c r="G365" s="138"/>
      <c r="H365" s="138"/>
      <c r="I365" s="138"/>
      <c r="J365" s="138"/>
      <c r="K365" s="138"/>
      <c r="L365" s="138"/>
      <c r="M365" s="138"/>
      <c r="N365" s="138"/>
      <c r="O365" s="138"/>
      <c r="P365" s="138"/>
    </row>
    <row r="366">
      <c r="A366" s="138"/>
      <c r="B366" s="138"/>
      <c r="C366" s="138"/>
      <c r="D366" s="138"/>
      <c r="E366" s="138"/>
      <c r="F366" s="138"/>
      <c r="G366" s="138"/>
      <c r="H366" s="138"/>
      <c r="I366" s="138"/>
      <c r="J366" s="138"/>
      <c r="K366" s="138"/>
      <c r="L366" s="138"/>
      <c r="M366" s="138"/>
      <c r="N366" s="138"/>
      <c r="O366" s="138"/>
      <c r="P366" s="138"/>
    </row>
    <row r="367">
      <c r="A367" s="138"/>
      <c r="B367" s="138"/>
      <c r="C367" s="138"/>
      <c r="D367" s="138"/>
      <c r="E367" s="138"/>
      <c r="F367" s="138"/>
      <c r="G367" s="138"/>
      <c r="H367" s="138"/>
      <c r="I367" s="138"/>
      <c r="J367" s="138"/>
      <c r="K367" s="138"/>
      <c r="L367" s="138"/>
      <c r="M367" s="138"/>
      <c r="N367" s="138"/>
      <c r="O367" s="138"/>
      <c r="P367" s="138"/>
    </row>
    <row r="368">
      <c r="A368" s="138"/>
      <c r="B368" s="138"/>
      <c r="C368" s="138"/>
      <c r="D368" s="138"/>
      <c r="E368" s="138"/>
      <c r="F368" s="138"/>
      <c r="G368" s="138"/>
      <c r="H368" s="138"/>
      <c r="I368" s="138"/>
      <c r="J368" s="138"/>
      <c r="K368" s="138"/>
      <c r="L368" s="138"/>
      <c r="M368" s="138"/>
      <c r="N368" s="138"/>
      <c r="O368" s="138"/>
      <c r="P368" s="138"/>
    </row>
    <row r="369">
      <c r="A369" s="138"/>
      <c r="B369" s="138"/>
      <c r="C369" s="138"/>
      <c r="D369" s="138"/>
      <c r="E369" s="138"/>
      <c r="F369" s="138"/>
      <c r="G369" s="138"/>
      <c r="H369" s="138"/>
      <c r="I369" s="138"/>
      <c r="J369" s="138"/>
      <c r="K369" s="138"/>
      <c r="L369" s="138"/>
      <c r="M369" s="138"/>
      <c r="N369" s="138"/>
      <c r="O369" s="138"/>
      <c r="P369" s="138"/>
    </row>
    <row r="370">
      <c r="A370" s="138"/>
      <c r="B370" s="138"/>
      <c r="C370" s="138"/>
      <c r="D370" s="138"/>
      <c r="E370" s="138"/>
      <c r="F370" s="138"/>
      <c r="G370" s="138"/>
      <c r="H370" s="138"/>
      <c r="I370" s="138"/>
      <c r="J370" s="138"/>
      <c r="K370" s="138"/>
      <c r="L370" s="138"/>
      <c r="M370" s="138"/>
      <c r="N370" s="138"/>
      <c r="O370" s="138"/>
      <c r="P370" s="138"/>
    </row>
    <row r="371">
      <c r="A371" s="138"/>
      <c r="B371" s="138"/>
      <c r="C371" s="138"/>
      <c r="D371" s="138"/>
      <c r="E371" s="138"/>
      <c r="F371" s="138"/>
      <c r="G371" s="138"/>
      <c r="H371" s="138"/>
      <c r="I371" s="138"/>
      <c r="J371" s="138"/>
      <c r="K371" s="138"/>
      <c r="L371" s="138"/>
      <c r="M371" s="138"/>
      <c r="N371" s="138"/>
      <c r="O371" s="138"/>
      <c r="P371" s="138"/>
    </row>
    <row r="372">
      <c r="A372" s="138"/>
      <c r="B372" s="138"/>
      <c r="C372" s="138"/>
      <c r="D372" s="138"/>
      <c r="E372" s="138"/>
      <c r="F372" s="138"/>
      <c r="G372" s="138"/>
      <c r="H372" s="138"/>
      <c r="I372" s="138"/>
      <c r="J372" s="138"/>
      <c r="K372" s="138"/>
      <c r="L372" s="138"/>
      <c r="M372" s="138"/>
      <c r="N372" s="138"/>
      <c r="O372" s="138"/>
      <c r="P372" s="138"/>
    </row>
    <row r="373">
      <c r="A373" s="138"/>
      <c r="B373" s="138"/>
      <c r="C373" s="138"/>
      <c r="D373" s="138"/>
      <c r="E373" s="138"/>
      <c r="F373" s="138"/>
      <c r="G373" s="138"/>
      <c r="H373" s="138"/>
      <c r="I373" s="138"/>
      <c r="J373" s="138"/>
      <c r="K373" s="138"/>
      <c r="L373" s="138"/>
      <c r="M373" s="138"/>
      <c r="N373" s="138"/>
      <c r="O373" s="138"/>
      <c r="P373" s="138"/>
    </row>
    <row r="374">
      <c r="A374" s="138"/>
      <c r="B374" s="138"/>
      <c r="C374" s="138"/>
      <c r="D374" s="138"/>
      <c r="E374" s="138"/>
      <c r="F374" s="138"/>
      <c r="G374" s="138"/>
      <c r="H374" s="138"/>
      <c r="I374" s="138"/>
      <c r="J374" s="138"/>
      <c r="K374" s="138"/>
      <c r="L374" s="138"/>
      <c r="M374" s="138"/>
      <c r="N374" s="138"/>
      <c r="O374" s="138"/>
      <c r="P374" s="138"/>
    </row>
    <row r="375">
      <c r="A375" s="138"/>
      <c r="B375" s="138"/>
      <c r="C375" s="138"/>
      <c r="D375" s="138"/>
      <c r="E375" s="138"/>
      <c r="F375" s="138"/>
      <c r="G375" s="138"/>
      <c r="H375" s="138"/>
      <c r="I375" s="138"/>
      <c r="J375" s="138"/>
      <c r="K375" s="138"/>
      <c r="L375" s="138"/>
      <c r="M375" s="138"/>
      <c r="N375" s="138"/>
      <c r="O375" s="138"/>
      <c r="P375" s="138"/>
    </row>
    <row r="376">
      <c r="A376" s="138"/>
      <c r="B376" s="138"/>
      <c r="C376" s="138"/>
      <c r="D376" s="138"/>
      <c r="E376" s="138"/>
      <c r="F376" s="138"/>
      <c r="G376" s="138"/>
      <c r="H376" s="138"/>
      <c r="I376" s="138"/>
      <c r="J376" s="138"/>
      <c r="K376" s="138"/>
      <c r="L376" s="138"/>
      <c r="M376" s="138"/>
      <c r="N376" s="138"/>
      <c r="O376" s="138"/>
      <c r="P376" s="138"/>
    </row>
    <row r="377">
      <c r="A377" s="138"/>
      <c r="B377" s="138"/>
      <c r="C377" s="138"/>
      <c r="D377" s="138"/>
      <c r="E377" s="138"/>
      <c r="F377" s="138"/>
      <c r="G377" s="138"/>
      <c r="H377" s="138"/>
      <c r="I377" s="138"/>
      <c r="J377" s="138"/>
      <c r="K377" s="138"/>
      <c r="L377" s="138"/>
      <c r="M377" s="138"/>
      <c r="N377" s="138"/>
      <c r="O377" s="138"/>
      <c r="P377" s="138"/>
    </row>
    <row r="378">
      <c r="A378" s="138"/>
      <c r="B378" s="138"/>
      <c r="C378" s="138"/>
      <c r="D378" s="138"/>
      <c r="E378" s="138"/>
      <c r="F378" s="138"/>
      <c r="G378" s="138"/>
      <c r="H378" s="138"/>
      <c r="I378" s="138"/>
      <c r="J378" s="138"/>
      <c r="K378" s="138"/>
      <c r="L378" s="138"/>
      <c r="M378" s="138"/>
      <c r="N378" s="138"/>
      <c r="O378" s="138"/>
      <c r="P378" s="138"/>
    </row>
    <row r="379">
      <c r="A379" s="138"/>
      <c r="B379" s="138"/>
      <c r="C379" s="138"/>
      <c r="D379" s="138"/>
      <c r="E379" s="138"/>
      <c r="F379" s="138"/>
      <c r="G379" s="138"/>
      <c r="H379" s="138"/>
      <c r="I379" s="138"/>
      <c r="J379" s="138"/>
      <c r="K379" s="138"/>
      <c r="L379" s="138"/>
      <c r="M379" s="138"/>
      <c r="N379" s="138"/>
      <c r="O379" s="138"/>
      <c r="P379" s="138"/>
    </row>
    <row r="380">
      <c r="A380" s="138"/>
      <c r="B380" s="138"/>
      <c r="C380" s="138"/>
      <c r="D380" s="138"/>
      <c r="E380" s="138"/>
      <c r="F380" s="138"/>
      <c r="G380" s="138"/>
      <c r="H380" s="138"/>
      <c r="I380" s="138"/>
      <c r="J380" s="138"/>
      <c r="K380" s="138"/>
      <c r="L380" s="138"/>
      <c r="M380" s="138"/>
      <c r="N380" s="138"/>
      <c r="O380" s="138"/>
      <c r="P380" s="138"/>
    </row>
    <row r="381">
      <c r="A381" s="138"/>
      <c r="B381" s="138"/>
      <c r="C381" s="138"/>
      <c r="D381" s="138"/>
      <c r="E381" s="138"/>
      <c r="F381" s="138"/>
      <c r="G381" s="138"/>
      <c r="H381" s="138"/>
      <c r="I381" s="138"/>
      <c r="J381" s="138"/>
      <c r="K381" s="138"/>
      <c r="L381" s="138"/>
      <c r="M381" s="138"/>
      <c r="N381" s="138"/>
      <c r="O381" s="138"/>
      <c r="P381" s="138"/>
    </row>
    <row r="382">
      <c r="A382" s="138"/>
      <c r="B382" s="138"/>
      <c r="C382" s="138"/>
      <c r="D382" s="138"/>
      <c r="E382" s="138"/>
      <c r="F382" s="138"/>
      <c r="G382" s="138"/>
      <c r="H382" s="138"/>
      <c r="I382" s="138"/>
      <c r="J382" s="138"/>
      <c r="K382" s="138"/>
      <c r="L382" s="138"/>
      <c r="M382" s="138"/>
      <c r="N382" s="138"/>
      <c r="O382" s="138"/>
      <c r="P382" s="138"/>
    </row>
    <row r="383">
      <c r="A383" s="138"/>
      <c r="B383" s="138"/>
      <c r="C383" s="138"/>
      <c r="D383" s="138"/>
      <c r="E383" s="138"/>
      <c r="F383" s="138"/>
      <c r="G383" s="138"/>
      <c r="H383" s="138"/>
      <c r="I383" s="138"/>
      <c r="J383" s="138"/>
      <c r="K383" s="138"/>
      <c r="L383" s="138"/>
      <c r="M383" s="138"/>
      <c r="N383" s="138"/>
      <c r="O383" s="138"/>
      <c r="P383" s="138"/>
    </row>
    <row r="384">
      <c r="A384" s="138"/>
      <c r="B384" s="138"/>
      <c r="C384" s="138"/>
      <c r="D384" s="138"/>
      <c r="E384" s="138"/>
      <c r="F384" s="138"/>
      <c r="G384" s="138"/>
      <c r="H384" s="138"/>
      <c r="I384" s="138"/>
      <c r="J384" s="138"/>
      <c r="K384" s="138"/>
      <c r="L384" s="138"/>
      <c r="M384" s="138"/>
      <c r="N384" s="138"/>
      <c r="O384" s="138"/>
      <c r="P384" s="138"/>
    </row>
    <row r="385">
      <c r="A385" s="138"/>
      <c r="B385" s="138"/>
      <c r="C385" s="138"/>
      <c r="D385" s="138"/>
      <c r="E385" s="138"/>
      <c r="F385" s="138"/>
      <c r="G385" s="138"/>
      <c r="H385" s="138"/>
      <c r="I385" s="138"/>
      <c r="J385" s="138"/>
      <c r="K385" s="138"/>
      <c r="L385" s="138"/>
      <c r="M385" s="138"/>
      <c r="N385" s="138"/>
      <c r="O385" s="138"/>
      <c r="P385" s="138"/>
    </row>
    <row r="386">
      <c r="A386" s="138"/>
      <c r="B386" s="138"/>
      <c r="C386" s="138"/>
      <c r="D386" s="138"/>
      <c r="E386" s="138"/>
      <c r="F386" s="138"/>
      <c r="G386" s="138"/>
      <c r="H386" s="138"/>
      <c r="I386" s="138"/>
      <c r="J386" s="138"/>
      <c r="K386" s="138"/>
      <c r="L386" s="138"/>
      <c r="M386" s="138"/>
      <c r="N386" s="138"/>
      <c r="O386" s="138"/>
      <c r="P386" s="138"/>
    </row>
    <row r="387">
      <c r="A387" s="138"/>
      <c r="B387" s="138"/>
      <c r="C387" s="138"/>
      <c r="D387" s="138"/>
      <c r="E387" s="138"/>
      <c r="F387" s="138"/>
      <c r="G387" s="138"/>
      <c r="H387" s="138"/>
      <c r="I387" s="138"/>
      <c r="J387" s="138"/>
      <c r="K387" s="138"/>
      <c r="L387" s="138"/>
      <c r="M387" s="138"/>
      <c r="N387" s="138"/>
      <c r="O387" s="138"/>
      <c r="P387" s="138"/>
    </row>
    <row r="388">
      <c r="A388" s="138"/>
      <c r="B388" s="138"/>
      <c r="C388" s="138"/>
      <c r="D388" s="138"/>
      <c r="E388" s="138"/>
      <c r="F388" s="138"/>
      <c r="G388" s="138"/>
      <c r="H388" s="138"/>
      <c r="I388" s="138"/>
      <c r="J388" s="138"/>
      <c r="K388" s="138"/>
      <c r="L388" s="138"/>
      <c r="M388" s="138"/>
      <c r="N388" s="138"/>
      <c r="O388" s="138"/>
      <c r="P388" s="138"/>
    </row>
    <row r="389">
      <c r="A389" s="138"/>
      <c r="B389" s="138"/>
      <c r="C389" s="138"/>
      <c r="D389" s="138"/>
      <c r="E389" s="138"/>
      <c r="F389" s="138"/>
      <c r="G389" s="138"/>
      <c r="H389" s="138"/>
      <c r="I389" s="138"/>
      <c r="J389" s="138"/>
      <c r="K389" s="138"/>
      <c r="L389" s="138"/>
      <c r="M389" s="138"/>
      <c r="N389" s="138"/>
      <c r="O389" s="138"/>
      <c r="P389" s="138"/>
    </row>
    <row r="390">
      <c r="A390" s="138"/>
      <c r="B390" s="138"/>
      <c r="C390" s="138"/>
      <c r="D390" s="138"/>
      <c r="E390" s="138"/>
      <c r="F390" s="138"/>
      <c r="G390" s="138"/>
      <c r="H390" s="138"/>
      <c r="I390" s="138"/>
      <c r="J390" s="138"/>
      <c r="K390" s="138"/>
      <c r="L390" s="138"/>
      <c r="M390" s="138"/>
      <c r="N390" s="138"/>
      <c r="O390" s="138"/>
      <c r="P390" s="138"/>
    </row>
    <row r="391">
      <c r="A391" s="138"/>
      <c r="B391" s="138"/>
      <c r="C391" s="138"/>
      <c r="D391" s="138"/>
      <c r="E391" s="138"/>
      <c r="F391" s="138"/>
      <c r="G391" s="138"/>
      <c r="H391" s="138"/>
      <c r="I391" s="138"/>
      <c r="J391" s="138"/>
      <c r="K391" s="138"/>
      <c r="L391" s="138"/>
      <c r="M391" s="138"/>
      <c r="N391" s="138"/>
      <c r="O391" s="138"/>
      <c r="P391" s="138"/>
    </row>
    <row r="392">
      <c r="A392" s="138"/>
      <c r="B392" s="138"/>
      <c r="C392" s="138"/>
      <c r="D392" s="138"/>
      <c r="E392" s="138"/>
      <c r="F392" s="138"/>
      <c r="G392" s="138"/>
      <c r="H392" s="138"/>
      <c r="I392" s="138"/>
      <c r="J392" s="138"/>
      <c r="K392" s="138"/>
      <c r="L392" s="138"/>
      <c r="M392" s="138"/>
      <c r="N392" s="138"/>
      <c r="O392" s="138"/>
      <c r="P392" s="138"/>
    </row>
    <row r="393">
      <c r="A393" s="138"/>
      <c r="B393" s="138"/>
      <c r="C393" s="138"/>
      <c r="D393" s="138"/>
      <c r="E393" s="138"/>
      <c r="F393" s="138"/>
      <c r="G393" s="138"/>
      <c r="H393" s="138"/>
      <c r="I393" s="138"/>
      <c r="J393" s="138"/>
      <c r="K393" s="138"/>
      <c r="L393" s="138"/>
      <c r="M393" s="138"/>
      <c r="N393" s="138"/>
      <c r="O393" s="138"/>
      <c r="P393" s="138"/>
    </row>
    <row r="394">
      <c r="A394" s="138"/>
      <c r="B394" s="138"/>
      <c r="C394" s="138"/>
      <c r="D394" s="138"/>
      <c r="E394" s="138"/>
      <c r="F394" s="138"/>
      <c r="G394" s="138"/>
      <c r="H394" s="138"/>
      <c r="I394" s="138"/>
      <c r="J394" s="138"/>
      <c r="K394" s="138"/>
      <c r="L394" s="138"/>
      <c r="M394" s="138"/>
      <c r="N394" s="138"/>
      <c r="O394" s="138"/>
      <c r="P394" s="138"/>
    </row>
    <row r="395">
      <c r="A395" s="138"/>
      <c r="B395" s="138"/>
      <c r="C395" s="138"/>
      <c r="D395" s="138"/>
      <c r="E395" s="138"/>
      <c r="F395" s="138"/>
      <c r="G395" s="138"/>
      <c r="H395" s="138"/>
      <c r="I395" s="138"/>
      <c r="J395" s="138"/>
      <c r="K395" s="138"/>
      <c r="L395" s="138"/>
      <c r="M395" s="138"/>
      <c r="N395" s="138"/>
      <c r="O395" s="138"/>
      <c r="P395" s="138"/>
    </row>
    <row r="396">
      <c r="A396" s="138"/>
      <c r="B396" s="138"/>
      <c r="C396" s="138"/>
      <c r="D396" s="138"/>
      <c r="E396" s="138"/>
      <c r="F396" s="138"/>
      <c r="G396" s="138"/>
      <c r="H396" s="138"/>
      <c r="I396" s="138"/>
      <c r="J396" s="138"/>
      <c r="K396" s="138"/>
      <c r="L396" s="138"/>
      <c r="M396" s="138"/>
      <c r="N396" s="138"/>
      <c r="O396" s="138"/>
      <c r="P396" s="138"/>
    </row>
    <row r="397">
      <c r="A397" s="138"/>
      <c r="B397" s="138"/>
      <c r="C397" s="138"/>
      <c r="D397" s="138"/>
      <c r="E397" s="138"/>
      <c r="F397" s="138"/>
      <c r="G397" s="138"/>
      <c r="H397" s="138"/>
      <c r="I397" s="138"/>
      <c r="J397" s="138"/>
      <c r="K397" s="138"/>
      <c r="L397" s="138"/>
      <c r="M397" s="138"/>
      <c r="N397" s="138"/>
      <c r="O397" s="138"/>
      <c r="P397" s="138"/>
    </row>
    <row r="398">
      <c r="A398" s="138"/>
      <c r="B398" s="138"/>
      <c r="C398" s="138"/>
      <c r="D398" s="138"/>
      <c r="E398" s="138"/>
      <c r="F398" s="138"/>
      <c r="G398" s="138"/>
      <c r="H398" s="138"/>
      <c r="I398" s="138"/>
      <c r="J398" s="138"/>
      <c r="K398" s="138"/>
      <c r="L398" s="138"/>
      <c r="M398" s="138"/>
      <c r="N398" s="138"/>
      <c r="O398" s="138"/>
      <c r="P398" s="138"/>
    </row>
    <row r="399">
      <c r="A399" s="138"/>
      <c r="B399" s="138"/>
      <c r="C399" s="138"/>
      <c r="D399" s="138"/>
      <c r="E399" s="138"/>
      <c r="F399" s="138"/>
      <c r="G399" s="138"/>
      <c r="H399" s="138"/>
      <c r="I399" s="138"/>
      <c r="J399" s="138"/>
      <c r="K399" s="138"/>
      <c r="L399" s="138"/>
      <c r="M399" s="138"/>
      <c r="N399" s="138"/>
      <c r="O399" s="138"/>
      <c r="P399" s="138"/>
    </row>
    <row r="400">
      <c r="A400" s="138"/>
      <c r="B400" s="138"/>
      <c r="C400" s="138"/>
      <c r="D400" s="138"/>
      <c r="E400" s="138"/>
      <c r="F400" s="138"/>
      <c r="G400" s="138"/>
      <c r="H400" s="138"/>
      <c r="I400" s="138"/>
      <c r="J400" s="138"/>
      <c r="K400" s="138"/>
      <c r="L400" s="138"/>
      <c r="M400" s="138"/>
      <c r="N400" s="138"/>
      <c r="O400" s="138"/>
      <c r="P400" s="138"/>
    </row>
    <row r="401">
      <c r="A401" s="138"/>
      <c r="B401" s="138"/>
      <c r="C401" s="138"/>
      <c r="D401" s="138"/>
      <c r="E401" s="138"/>
      <c r="F401" s="138"/>
      <c r="G401" s="138"/>
      <c r="H401" s="138"/>
      <c r="I401" s="138"/>
      <c r="J401" s="138"/>
      <c r="K401" s="138"/>
      <c r="L401" s="138"/>
      <c r="M401" s="138"/>
      <c r="N401" s="138"/>
      <c r="O401" s="138"/>
      <c r="P401" s="138"/>
    </row>
    <row r="402">
      <c r="A402" s="138"/>
      <c r="B402" s="138"/>
      <c r="C402" s="138"/>
      <c r="D402" s="138"/>
      <c r="E402" s="138"/>
      <c r="F402" s="138"/>
      <c r="G402" s="138"/>
      <c r="H402" s="138"/>
      <c r="I402" s="138"/>
      <c r="J402" s="138"/>
      <c r="K402" s="138"/>
      <c r="L402" s="138"/>
      <c r="M402" s="138"/>
      <c r="N402" s="138"/>
      <c r="O402" s="138"/>
      <c r="P402" s="138"/>
    </row>
    <row r="403">
      <c r="A403" s="138"/>
      <c r="B403" s="138"/>
      <c r="C403" s="138"/>
      <c r="D403" s="138"/>
      <c r="E403" s="138"/>
      <c r="F403" s="138"/>
      <c r="G403" s="138"/>
      <c r="H403" s="138"/>
      <c r="I403" s="138"/>
      <c r="J403" s="138"/>
      <c r="K403" s="138"/>
      <c r="L403" s="138"/>
      <c r="M403" s="138"/>
      <c r="N403" s="138"/>
      <c r="O403" s="138"/>
      <c r="P403" s="138"/>
    </row>
    <row r="404">
      <c r="A404" s="138"/>
      <c r="B404" s="138"/>
      <c r="C404" s="138"/>
      <c r="D404" s="138"/>
      <c r="E404" s="138"/>
      <c r="F404" s="138"/>
      <c r="G404" s="138"/>
      <c r="H404" s="138"/>
      <c r="I404" s="138"/>
      <c r="J404" s="138"/>
      <c r="K404" s="138"/>
      <c r="L404" s="138"/>
      <c r="M404" s="138"/>
      <c r="N404" s="138"/>
      <c r="O404" s="138"/>
      <c r="P404" s="138"/>
    </row>
    <row r="405">
      <c r="A405" s="138"/>
      <c r="B405" s="138"/>
      <c r="C405" s="138"/>
      <c r="D405" s="138"/>
      <c r="E405" s="138"/>
      <c r="F405" s="138"/>
      <c r="G405" s="138"/>
      <c r="H405" s="138"/>
      <c r="I405" s="138"/>
      <c r="J405" s="138"/>
      <c r="K405" s="138"/>
      <c r="L405" s="138"/>
      <c r="M405" s="138"/>
      <c r="N405" s="138"/>
      <c r="O405" s="138"/>
      <c r="P405" s="138"/>
    </row>
    <row r="406">
      <c r="A406" s="138"/>
      <c r="B406" s="138"/>
      <c r="C406" s="138"/>
      <c r="D406" s="138"/>
      <c r="E406" s="138"/>
      <c r="F406" s="138"/>
      <c r="G406" s="138"/>
      <c r="H406" s="138"/>
      <c r="I406" s="138"/>
      <c r="J406" s="138"/>
      <c r="K406" s="138"/>
      <c r="L406" s="138"/>
      <c r="M406" s="138"/>
      <c r="N406" s="138"/>
      <c r="O406" s="138"/>
      <c r="P406" s="138"/>
    </row>
    <row r="407">
      <c r="A407" s="138"/>
      <c r="B407" s="138"/>
      <c r="C407" s="138"/>
      <c r="D407" s="138"/>
      <c r="E407" s="138"/>
      <c r="F407" s="138"/>
      <c r="G407" s="138"/>
      <c r="H407" s="138"/>
      <c r="I407" s="138"/>
      <c r="J407" s="138"/>
      <c r="K407" s="138"/>
      <c r="L407" s="138"/>
      <c r="M407" s="138"/>
      <c r="N407" s="138"/>
      <c r="O407" s="138"/>
      <c r="P407" s="138"/>
    </row>
    <row r="408">
      <c r="A408" s="138"/>
      <c r="B408" s="138"/>
      <c r="C408" s="138"/>
      <c r="D408" s="138"/>
      <c r="E408" s="138"/>
      <c r="F408" s="138"/>
      <c r="G408" s="138"/>
      <c r="H408" s="138"/>
      <c r="I408" s="138"/>
      <c r="J408" s="138"/>
      <c r="K408" s="138"/>
      <c r="L408" s="138"/>
      <c r="M408" s="138"/>
      <c r="N408" s="138"/>
      <c r="O408" s="138"/>
      <c r="P408" s="138"/>
    </row>
    <row r="409">
      <c r="A409" s="138"/>
      <c r="B409" s="138"/>
      <c r="C409" s="138"/>
      <c r="D409" s="138"/>
      <c r="E409" s="138"/>
      <c r="F409" s="138"/>
      <c r="G409" s="138"/>
      <c r="H409" s="138"/>
      <c r="I409" s="138"/>
      <c r="J409" s="138"/>
      <c r="K409" s="138"/>
      <c r="L409" s="138"/>
      <c r="M409" s="138"/>
      <c r="N409" s="138"/>
      <c r="O409" s="138"/>
      <c r="P409" s="138"/>
    </row>
    <row r="410">
      <c r="A410" s="138"/>
      <c r="B410" s="138"/>
      <c r="C410" s="138"/>
      <c r="D410" s="138"/>
      <c r="E410" s="138"/>
      <c r="F410" s="138"/>
      <c r="G410" s="138"/>
      <c r="H410" s="138"/>
      <c r="I410" s="138"/>
      <c r="J410" s="138"/>
      <c r="K410" s="138"/>
      <c r="L410" s="138"/>
      <c r="M410" s="138"/>
      <c r="N410" s="138"/>
      <c r="O410" s="138"/>
      <c r="P410" s="138"/>
    </row>
    <row r="411">
      <c r="A411" s="138"/>
      <c r="B411" s="138"/>
      <c r="C411" s="138"/>
      <c r="D411" s="138"/>
      <c r="E411" s="138"/>
      <c r="F411" s="138"/>
      <c r="G411" s="138"/>
      <c r="H411" s="138"/>
      <c r="I411" s="138"/>
      <c r="J411" s="138"/>
      <c r="K411" s="138"/>
      <c r="L411" s="138"/>
      <c r="M411" s="138"/>
      <c r="N411" s="138"/>
      <c r="O411" s="138"/>
      <c r="P411" s="138"/>
    </row>
    <row r="412">
      <c r="A412" s="138"/>
      <c r="B412" s="138"/>
      <c r="C412" s="138"/>
      <c r="D412" s="138"/>
      <c r="E412" s="138"/>
      <c r="F412" s="138"/>
      <c r="G412" s="138"/>
      <c r="H412" s="138"/>
      <c r="I412" s="138"/>
      <c r="J412" s="138"/>
      <c r="K412" s="138"/>
      <c r="L412" s="138"/>
      <c r="M412" s="138"/>
      <c r="N412" s="138"/>
      <c r="O412" s="138"/>
      <c r="P412" s="138"/>
    </row>
    <row r="413">
      <c r="A413" s="138"/>
      <c r="B413" s="138"/>
      <c r="C413" s="138"/>
      <c r="D413" s="138"/>
      <c r="E413" s="138"/>
      <c r="F413" s="138"/>
      <c r="G413" s="138"/>
      <c r="H413" s="138"/>
      <c r="I413" s="138"/>
      <c r="J413" s="138"/>
      <c r="K413" s="138"/>
      <c r="L413" s="138"/>
      <c r="M413" s="138"/>
      <c r="N413" s="138"/>
      <c r="O413" s="138"/>
      <c r="P413" s="138"/>
    </row>
    <row r="414">
      <c r="A414" s="138"/>
      <c r="B414" s="138"/>
      <c r="C414" s="138"/>
      <c r="D414" s="138"/>
      <c r="E414" s="138"/>
      <c r="F414" s="138"/>
      <c r="G414" s="138"/>
      <c r="H414" s="138"/>
      <c r="I414" s="138"/>
      <c r="J414" s="138"/>
      <c r="K414" s="138"/>
      <c r="L414" s="138"/>
      <c r="M414" s="138"/>
      <c r="N414" s="138"/>
      <c r="O414" s="138"/>
      <c r="P414" s="138"/>
    </row>
    <row r="415">
      <c r="A415" s="138"/>
      <c r="B415" s="138"/>
      <c r="C415" s="138"/>
      <c r="D415" s="138"/>
      <c r="E415" s="138"/>
      <c r="F415" s="138"/>
      <c r="G415" s="138"/>
      <c r="H415" s="138"/>
      <c r="I415" s="138"/>
      <c r="J415" s="138"/>
      <c r="K415" s="138"/>
      <c r="L415" s="138"/>
      <c r="M415" s="138"/>
      <c r="N415" s="138"/>
      <c r="O415" s="138"/>
      <c r="P415" s="138"/>
    </row>
    <row r="416">
      <c r="A416" s="138"/>
      <c r="B416" s="138"/>
      <c r="C416" s="138"/>
      <c r="D416" s="138"/>
      <c r="E416" s="138"/>
      <c r="F416" s="138"/>
      <c r="G416" s="138"/>
      <c r="H416" s="138"/>
      <c r="I416" s="138"/>
      <c r="J416" s="138"/>
      <c r="K416" s="138"/>
      <c r="L416" s="138"/>
      <c r="M416" s="138"/>
      <c r="N416" s="138"/>
      <c r="O416" s="138"/>
      <c r="P416" s="138"/>
    </row>
    <row r="417">
      <c r="A417" s="138"/>
      <c r="B417" s="138"/>
      <c r="C417" s="138"/>
      <c r="D417" s="138"/>
      <c r="E417" s="138"/>
      <c r="F417" s="138"/>
      <c r="G417" s="138"/>
      <c r="H417" s="138"/>
      <c r="I417" s="138"/>
      <c r="J417" s="138"/>
      <c r="K417" s="138"/>
      <c r="L417" s="138"/>
      <c r="M417" s="138"/>
      <c r="N417" s="138"/>
      <c r="O417" s="138"/>
      <c r="P417" s="138"/>
    </row>
    <row r="418">
      <c r="A418" s="138"/>
      <c r="B418" s="138"/>
      <c r="C418" s="138"/>
      <c r="D418" s="138"/>
      <c r="E418" s="138"/>
      <c r="F418" s="138"/>
      <c r="G418" s="138"/>
      <c r="H418" s="138"/>
      <c r="I418" s="138"/>
      <c r="J418" s="138"/>
      <c r="K418" s="138"/>
      <c r="L418" s="138"/>
      <c r="M418" s="138"/>
      <c r="N418" s="138"/>
      <c r="O418" s="138"/>
      <c r="P418" s="138"/>
    </row>
    <row r="419">
      <c r="A419" s="138"/>
      <c r="B419" s="138"/>
      <c r="C419" s="138"/>
      <c r="D419" s="138"/>
      <c r="E419" s="138"/>
      <c r="F419" s="138"/>
      <c r="G419" s="138"/>
      <c r="H419" s="138"/>
      <c r="I419" s="138"/>
      <c r="J419" s="138"/>
      <c r="K419" s="138"/>
      <c r="L419" s="138"/>
      <c r="M419" s="138"/>
      <c r="N419" s="138"/>
      <c r="O419" s="138"/>
      <c r="P419" s="138"/>
    </row>
    <row r="420">
      <c r="A420" s="138"/>
      <c r="B420" s="138"/>
      <c r="C420" s="138"/>
      <c r="D420" s="138"/>
      <c r="E420" s="138"/>
      <c r="F420" s="138"/>
      <c r="G420" s="138"/>
      <c r="H420" s="138"/>
      <c r="I420" s="138"/>
      <c r="J420" s="138"/>
      <c r="K420" s="138"/>
      <c r="L420" s="138"/>
      <c r="M420" s="138"/>
      <c r="N420" s="138"/>
      <c r="O420" s="138"/>
      <c r="P420" s="138"/>
    </row>
    <row r="421">
      <c r="A421" s="138"/>
      <c r="B421" s="138"/>
      <c r="C421" s="138"/>
      <c r="D421" s="138"/>
      <c r="E421" s="138"/>
      <c r="F421" s="138"/>
      <c r="G421" s="138"/>
      <c r="H421" s="138"/>
      <c r="I421" s="138"/>
      <c r="J421" s="138"/>
      <c r="K421" s="138"/>
      <c r="L421" s="138"/>
      <c r="M421" s="138"/>
      <c r="N421" s="138"/>
      <c r="O421" s="138"/>
      <c r="P421" s="138"/>
    </row>
    <row r="422">
      <c r="A422" s="138"/>
      <c r="B422" s="138"/>
      <c r="C422" s="138"/>
      <c r="D422" s="138"/>
      <c r="E422" s="138"/>
      <c r="F422" s="138"/>
      <c r="G422" s="138"/>
      <c r="H422" s="138"/>
      <c r="I422" s="138"/>
      <c r="J422" s="138"/>
      <c r="K422" s="138"/>
      <c r="L422" s="138"/>
      <c r="M422" s="138"/>
      <c r="N422" s="138"/>
      <c r="O422" s="138"/>
      <c r="P422" s="138"/>
    </row>
    <row r="423">
      <c r="A423" s="138"/>
      <c r="B423" s="138"/>
      <c r="C423" s="138"/>
      <c r="D423" s="138"/>
      <c r="E423" s="138"/>
      <c r="F423" s="138"/>
      <c r="G423" s="138"/>
      <c r="H423" s="138"/>
      <c r="I423" s="138"/>
      <c r="J423" s="138"/>
      <c r="K423" s="138"/>
      <c r="L423" s="138"/>
      <c r="M423" s="138"/>
      <c r="N423" s="138"/>
      <c r="O423" s="138"/>
      <c r="P423" s="138"/>
    </row>
    <row r="424">
      <c r="A424" s="138"/>
      <c r="B424" s="138"/>
      <c r="C424" s="138"/>
      <c r="D424" s="138"/>
      <c r="E424" s="138"/>
      <c r="F424" s="138"/>
      <c r="G424" s="138"/>
      <c r="H424" s="138"/>
      <c r="I424" s="138"/>
      <c r="J424" s="138"/>
      <c r="K424" s="138"/>
      <c r="L424" s="138"/>
      <c r="M424" s="138"/>
      <c r="N424" s="138"/>
      <c r="O424" s="138"/>
      <c r="P424" s="138"/>
    </row>
    <row r="425">
      <c r="A425" s="138"/>
      <c r="B425" s="138"/>
      <c r="C425" s="138"/>
      <c r="D425" s="138"/>
      <c r="E425" s="138"/>
      <c r="F425" s="138"/>
      <c r="G425" s="138"/>
      <c r="H425" s="138"/>
      <c r="I425" s="138"/>
      <c r="J425" s="138"/>
      <c r="K425" s="138"/>
      <c r="L425" s="138"/>
      <c r="M425" s="138"/>
      <c r="N425" s="138"/>
      <c r="O425" s="138"/>
      <c r="P425" s="138"/>
    </row>
    <row r="426">
      <c r="A426" s="138"/>
      <c r="B426" s="138"/>
      <c r="C426" s="138"/>
      <c r="D426" s="138"/>
      <c r="E426" s="138"/>
      <c r="F426" s="138"/>
      <c r="G426" s="138"/>
      <c r="H426" s="138"/>
      <c r="I426" s="138"/>
      <c r="J426" s="138"/>
      <c r="K426" s="138"/>
      <c r="L426" s="138"/>
      <c r="M426" s="138"/>
      <c r="N426" s="138"/>
      <c r="O426" s="138"/>
      <c r="P426" s="138"/>
    </row>
    <row r="427">
      <c r="A427" s="138"/>
      <c r="B427" s="138"/>
      <c r="C427" s="138"/>
      <c r="D427" s="138"/>
      <c r="E427" s="138"/>
      <c r="F427" s="138"/>
      <c r="G427" s="138"/>
      <c r="H427" s="138"/>
      <c r="I427" s="138"/>
      <c r="J427" s="138"/>
      <c r="K427" s="138"/>
      <c r="L427" s="138"/>
      <c r="M427" s="138"/>
      <c r="N427" s="138"/>
      <c r="O427" s="138"/>
      <c r="P427" s="138"/>
    </row>
    <row r="428">
      <c r="A428" s="138"/>
      <c r="B428" s="138"/>
      <c r="C428" s="138"/>
      <c r="D428" s="138"/>
      <c r="E428" s="138"/>
      <c r="F428" s="138"/>
      <c r="G428" s="138"/>
      <c r="H428" s="138"/>
      <c r="I428" s="138"/>
      <c r="J428" s="138"/>
      <c r="K428" s="138"/>
      <c r="L428" s="138"/>
      <c r="M428" s="138"/>
      <c r="N428" s="138"/>
      <c r="O428" s="138"/>
      <c r="P428" s="138"/>
    </row>
    <row r="429">
      <c r="A429" s="138"/>
      <c r="B429" s="138"/>
      <c r="C429" s="138"/>
      <c r="D429" s="138"/>
      <c r="E429" s="138"/>
      <c r="F429" s="138"/>
      <c r="G429" s="138"/>
      <c r="H429" s="138"/>
      <c r="I429" s="138"/>
      <c r="J429" s="138"/>
      <c r="K429" s="138"/>
      <c r="L429" s="138"/>
      <c r="M429" s="138"/>
      <c r="N429" s="138"/>
      <c r="O429" s="138"/>
      <c r="P429" s="138"/>
    </row>
    <row r="430">
      <c r="A430" s="138"/>
      <c r="B430" s="138"/>
      <c r="C430" s="138"/>
      <c r="D430" s="138"/>
      <c r="E430" s="138"/>
      <c r="F430" s="138"/>
      <c r="G430" s="138"/>
      <c r="H430" s="138"/>
      <c r="I430" s="138"/>
      <c r="J430" s="138"/>
      <c r="K430" s="138"/>
      <c r="L430" s="138"/>
      <c r="M430" s="138"/>
      <c r="N430" s="138"/>
      <c r="O430" s="138"/>
      <c r="P430" s="138"/>
    </row>
    <row r="431">
      <c r="A431" s="138"/>
      <c r="B431" s="138"/>
      <c r="C431" s="138"/>
      <c r="D431" s="138"/>
      <c r="E431" s="138"/>
      <c r="F431" s="138"/>
      <c r="G431" s="138"/>
      <c r="H431" s="138"/>
      <c r="I431" s="138"/>
      <c r="J431" s="138"/>
      <c r="K431" s="138"/>
      <c r="L431" s="138"/>
      <c r="M431" s="138"/>
      <c r="N431" s="138"/>
      <c r="O431" s="138"/>
      <c r="P431" s="138"/>
    </row>
    <row r="432">
      <c r="A432" s="138"/>
      <c r="B432" s="138"/>
      <c r="C432" s="138"/>
      <c r="D432" s="138"/>
      <c r="E432" s="138"/>
      <c r="F432" s="138"/>
      <c r="G432" s="138"/>
      <c r="H432" s="138"/>
      <c r="I432" s="138"/>
      <c r="J432" s="138"/>
      <c r="K432" s="138"/>
      <c r="L432" s="138"/>
      <c r="M432" s="138"/>
      <c r="N432" s="138"/>
      <c r="O432" s="138"/>
      <c r="P432" s="138"/>
    </row>
    <row r="433">
      <c r="A433" s="138"/>
      <c r="B433" s="138"/>
      <c r="C433" s="138"/>
      <c r="D433" s="138"/>
      <c r="E433" s="138"/>
      <c r="F433" s="138"/>
      <c r="G433" s="138"/>
      <c r="H433" s="138"/>
      <c r="I433" s="138"/>
      <c r="J433" s="138"/>
      <c r="K433" s="138"/>
      <c r="L433" s="138"/>
      <c r="M433" s="138"/>
      <c r="N433" s="138"/>
      <c r="O433" s="138"/>
      <c r="P433" s="138"/>
    </row>
    <row r="434">
      <c r="A434" s="138"/>
      <c r="B434" s="138"/>
      <c r="C434" s="138"/>
      <c r="D434" s="138"/>
      <c r="E434" s="138"/>
      <c r="F434" s="138"/>
      <c r="G434" s="138"/>
      <c r="H434" s="138"/>
      <c r="I434" s="138"/>
      <c r="J434" s="138"/>
      <c r="K434" s="138"/>
      <c r="L434" s="138"/>
      <c r="M434" s="138"/>
      <c r="N434" s="138"/>
      <c r="O434" s="138"/>
      <c r="P434" s="138"/>
    </row>
    <row r="435">
      <c r="A435" s="138"/>
      <c r="B435" s="138"/>
      <c r="C435" s="138"/>
      <c r="D435" s="138"/>
      <c r="E435" s="138"/>
      <c r="F435" s="138"/>
      <c r="G435" s="138"/>
      <c r="H435" s="138"/>
      <c r="I435" s="138"/>
      <c r="J435" s="138"/>
      <c r="K435" s="138"/>
      <c r="L435" s="138"/>
      <c r="M435" s="138"/>
      <c r="N435" s="138"/>
      <c r="O435" s="138"/>
      <c r="P435" s="138"/>
    </row>
    <row r="436">
      <c r="A436" s="138"/>
      <c r="B436" s="138"/>
      <c r="C436" s="138"/>
      <c r="D436" s="138"/>
      <c r="E436" s="138"/>
      <c r="F436" s="138"/>
      <c r="G436" s="138"/>
      <c r="H436" s="138"/>
      <c r="I436" s="138"/>
      <c r="J436" s="138"/>
      <c r="K436" s="138"/>
      <c r="L436" s="138"/>
      <c r="M436" s="138"/>
      <c r="N436" s="138"/>
      <c r="O436" s="138"/>
      <c r="P436" s="138"/>
    </row>
    <row r="437">
      <c r="A437" s="138"/>
      <c r="B437" s="138"/>
      <c r="C437" s="138"/>
      <c r="D437" s="138"/>
      <c r="E437" s="138"/>
      <c r="F437" s="138"/>
      <c r="G437" s="138"/>
      <c r="H437" s="138"/>
      <c r="I437" s="138"/>
      <c r="J437" s="138"/>
      <c r="K437" s="138"/>
      <c r="L437" s="138"/>
      <c r="M437" s="138"/>
      <c r="N437" s="138"/>
      <c r="O437" s="138"/>
      <c r="P437" s="138"/>
    </row>
    <row r="438">
      <c r="A438" s="138"/>
      <c r="B438" s="138"/>
      <c r="C438" s="138"/>
      <c r="D438" s="138"/>
      <c r="E438" s="138"/>
      <c r="F438" s="138"/>
      <c r="G438" s="138"/>
      <c r="H438" s="138"/>
      <c r="I438" s="138"/>
      <c r="J438" s="138"/>
      <c r="K438" s="138"/>
      <c r="L438" s="138"/>
      <c r="M438" s="138"/>
      <c r="N438" s="138"/>
      <c r="O438" s="138"/>
      <c r="P438" s="138"/>
    </row>
    <row r="439">
      <c r="A439" s="138"/>
      <c r="B439" s="138"/>
      <c r="C439" s="138"/>
      <c r="D439" s="138"/>
      <c r="E439" s="138"/>
      <c r="F439" s="138"/>
      <c r="G439" s="138"/>
      <c r="H439" s="138"/>
      <c r="I439" s="138"/>
      <c r="J439" s="138"/>
      <c r="K439" s="138"/>
      <c r="L439" s="138"/>
      <c r="M439" s="138"/>
      <c r="N439" s="138"/>
      <c r="O439" s="138"/>
      <c r="P439" s="138"/>
    </row>
    <row r="440">
      <c r="A440" s="138"/>
      <c r="B440" s="138"/>
      <c r="C440" s="138"/>
      <c r="D440" s="138"/>
      <c r="E440" s="138"/>
      <c r="F440" s="138"/>
      <c r="G440" s="138"/>
      <c r="H440" s="138"/>
      <c r="I440" s="138"/>
      <c r="J440" s="138"/>
      <c r="K440" s="138"/>
      <c r="L440" s="138"/>
      <c r="M440" s="138"/>
      <c r="N440" s="138"/>
      <c r="O440" s="138"/>
      <c r="P440" s="138"/>
    </row>
    <row r="441">
      <c r="A441" s="138"/>
      <c r="B441" s="138"/>
      <c r="C441" s="138"/>
      <c r="D441" s="138"/>
      <c r="E441" s="138"/>
      <c r="F441" s="138"/>
      <c r="G441" s="138"/>
      <c r="H441" s="138"/>
      <c r="I441" s="138"/>
      <c r="J441" s="138"/>
      <c r="K441" s="138"/>
      <c r="L441" s="138"/>
      <c r="M441" s="138"/>
      <c r="N441" s="138"/>
      <c r="O441" s="138"/>
      <c r="P441" s="138"/>
    </row>
    <row r="442">
      <c r="A442" s="138"/>
      <c r="B442" s="138"/>
      <c r="C442" s="138"/>
      <c r="D442" s="138"/>
      <c r="E442" s="138"/>
      <c r="F442" s="138"/>
      <c r="G442" s="138"/>
      <c r="H442" s="138"/>
      <c r="I442" s="138"/>
      <c r="J442" s="138"/>
      <c r="K442" s="138"/>
      <c r="L442" s="138"/>
      <c r="M442" s="138"/>
      <c r="N442" s="138"/>
      <c r="O442" s="138"/>
      <c r="P442" s="138"/>
    </row>
    <row r="443">
      <c r="A443" s="138"/>
      <c r="B443" s="138"/>
      <c r="C443" s="138"/>
      <c r="D443" s="138"/>
      <c r="E443" s="138"/>
      <c r="F443" s="138"/>
      <c r="G443" s="138"/>
      <c r="H443" s="138"/>
      <c r="I443" s="138"/>
      <c r="J443" s="138"/>
      <c r="K443" s="138"/>
      <c r="L443" s="138"/>
      <c r="M443" s="138"/>
      <c r="N443" s="138"/>
      <c r="O443" s="138"/>
      <c r="P443" s="138"/>
    </row>
    <row r="444">
      <c r="A444" s="138"/>
      <c r="B444" s="138"/>
      <c r="C444" s="138"/>
      <c r="D444" s="138"/>
      <c r="E444" s="138"/>
      <c r="F444" s="138"/>
      <c r="G444" s="138"/>
      <c r="H444" s="138"/>
      <c r="I444" s="138"/>
      <c r="J444" s="138"/>
      <c r="K444" s="138"/>
      <c r="L444" s="138"/>
      <c r="M444" s="138"/>
      <c r="N444" s="138"/>
      <c r="O444" s="138"/>
      <c r="P444" s="138"/>
    </row>
    <row r="445">
      <c r="A445" s="138"/>
      <c r="B445" s="138"/>
      <c r="C445" s="138"/>
      <c r="D445" s="138"/>
      <c r="E445" s="138"/>
      <c r="F445" s="138"/>
      <c r="G445" s="138"/>
      <c r="H445" s="138"/>
      <c r="I445" s="138"/>
      <c r="J445" s="138"/>
      <c r="K445" s="138"/>
      <c r="L445" s="138"/>
      <c r="M445" s="138"/>
      <c r="N445" s="138"/>
      <c r="O445" s="138"/>
      <c r="P445" s="138"/>
    </row>
    <row r="446">
      <c r="A446" s="138"/>
      <c r="B446" s="138"/>
      <c r="C446" s="138"/>
      <c r="D446" s="138"/>
      <c r="E446" s="138"/>
      <c r="F446" s="138"/>
      <c r="G446" s="138"/>
      <c r="H446" s="138"/>
      <c r="I446" s="138"/>
      <c r="J446" s="138"/>
      <c r="K446" s="138"/>
      <c r="L446" s="138"/>
      <c r="M446" s="138"/>
      <c r="N446" s="138"/>
      <c r="O446" s="138"/>
      <c r="P446" s="138"/>
    </row>
    <row r="447">
      <c r="A447" s="138"/>
      <c r="B447" s="138"/>
      <c r="C447" s="138"/>
      <c r="D447" s="138"/>
      <c r="E447" s="138"/>
      <c r="F447" s="138"/>
      <c r="G447" s="138"/>
      <c r="H447" s="138"/>
      <c r="I447" s="138"/>
      <c r="J447" s="138"/>
      <c r="K447" s="138"/>
      <c r="L447" s="138"/>
      <c r="M447" s="138"/>
      <c r="N447" s="138"/>
      <c r="O447" s="138"/>
      <c r="P447" s="138"/>
    </row>
    <row r="448">
      <c r="A448" s="138"/>
      <c r="B448" s="138"/>
      <c r="C448" s="138"/>
      <c r="D448" s="138"/>
      <c r="E448" s="138"/>
      <c r="F448" s="138"/>
      <c r="G448" s="138"/>
      <c r="H448" s="138"/>
      <c r="I448" s="138"/>
      <c r="J448" s="138"/>
      <c r="K448" s="138"/>
      <c r="L448" s="138"/>
      <c r="M448" s="138"/>
      <c r="N448" s="138"/>
      <c r="O448" s="138"/>
      <c r="P448" s="138"/>
    </row>
    <row r="449">
      <c r="A449" s="138"/>
      <c r="B449" s="138"/>
      <c r="C449" s="138"/>
      <c r="D449" s="138"/>
      <c r="E449" s="138"/>
      <c r="F449" s="138"/>
      <c r="G449" s="138"/>
      <c r="H449" s="138"/>
      <c r="I449" s="138"/>
      <c r="J449" s="138"/>
      <c r="K449" s="138"/>
      <c r="L449" s="138"/>
      <c r="M449" s="138"/>
      <c r="N449" s="138"/>
      <c r="O449" s="138"/>
      <c r="P449" s="138"/>
    </row>
    <row r="450">
      <c r="A450" s="138"/>
      <c r="B450" s="138"/>
      <c r="C450" s="138"/>
      <c r="D450" s="138"/>
      <c r="E450" s="138"/>
      <c r="F450" s="138"/>
      <c r="G450" s="138"/>
      <c r="H450" s="138"/>
      <c r="I450" s="138"/>
      <c r="J450" s="138"/>
      <c r="K450" s="138"/>
      <c r="L450" s="138"/>
      <c r="M450" s="138"/>
      <c r="N450" s="138"/>
      <c r="O450" s="138"/>
      <c r="P450" s="138"/>
    </row>
    <row r="451">
      <c r="A451" s="138"/>
      <c r="B451" s="138"/>
      <c r="C451" s="138"/>
      <c r="D451" s="138"/>
      <c r="E451" s="138"/>
      <c r="F451" s="138"/>
      <c r="G451" s="138"/>
      <c r="H451" s="138"/>
      <c r="I451" s="138"/>
      <c r="J451" s="138"/>
      <c r="K451" s="138"/>
      <c r="L451" s="138"/>
      <c r="M451" s="138"/>
      <c r="N451" s="138"/>
      <c r="O451" s="138"/>
      <c r="P451" s="138"/>
    </row>
    <row r="452">
      <c r="A452" s="138"/>
      <c r="B452" s="138"/>
      <c r="C452" s="138"/>
      <c r="D452" s="138"/>
      <c r="E452" s="138"/>
      <c r="F452" s="138"/>
      <c r="G452" s="138"/>
      <c r="H452" s="138"/>
      <c r="I452" s="138"/>
      <c r="J452" s="138"/>
      <c r="K452" s="138"/>
      <c r="L452" s="138"/>
      <c r="M452" s="138"/>
      <c r="N452" s="138"/>
      <c r="O452" s="138"/>
      <c r="P452" s="138"/>
    </row>
    <row r="453">
      <c r="A453" s="138"/>
      <c r="B453" s="138"/>
      <c r="C453" s="138"/>
      <c r="D453" s="138"/>
      <c r="E453" s="138"/>
      <c r="F453" s="138"/>
      <c r="G453" s="138"/>
      <c r="H453" s="138"/>
      <c r="I453" s="138"/>
      <c r="J453" s="138"/>
      <c r="K453" s="138"/>
      <c r="L453" s="138"/>
      <c r="M453" s="138"/>
      <c r="N453" s="138"/>
      <c r="O453" s="138"/>
      <c r="P453" s="138"/>
    </row>
    <row r="454">
      <c r="A454" s="138"/>
      <c r="B454" s="138"/>
      <c r="C454" s="138"/>
      <c r="D454" s="138"/>
      <c r="E454" s="138"/>
      <c r="F454" s="138"/>
      <c r="G454" s="138"/>
      <c r="H454" s="138"/>
      <c r="I454" s="138"/>
      <c r="J454" s="138"/>
      <c r="K454" s="138"/>
      <c r="L454" s="138"/>
      <c r="M454" s="138"/>
      <c r="N454" s="138"/>
      <c r="O454" s="138"/>
      <c r="P454" s="138"/>
    </row>
    <row r="455">
      <c r="A455" s="138"/>
      <c r="B455" s="138"/>
      <c r="C455" s="138"/>
      <c r="D455" s="138"/>
      <c r="E455" s="138"/>
      <c r="F455" s="138"/>
      <c r="G455" s="138"/>
      <c r="H455" s="138"/>
      <c r="I455" s="138"/>
      <c r="J455" s="138"/>
      <c r="K455" s="138"/>
      <c r="L455" s="138"/>
      <c r="M455" s="138"/>
      <c r="N455" s="138"/>
      <c r="O455" s="138"/>
      <c r="P455" s="138"/>
    </row>
    <row r="456">
      <c r="A456" s="138"/>
      <c r="B456" s="138"/>
      <c r="C456" s="138"/>
      <c r="D456" s="138"/>
      <c r="E456" s="138"/>
      <c r="F456" s="138"/>
      <c r="G456" s="138"/>
      <c r="H456" s="138"/>
      <c r="I456" s="138"/>
      <c r="J456" s="138"/>
      <c r="K456" s="138"/>
      <c r="L456" s="138"/>
      <c r="M456" s="138"/>
      <c r="N456" s="138"/>
      <c r="O456" s="138"/>
      <c r="P456" s="138"/>
    </row>
    <row r="457">
      <c r="A457" s="138"/>
      <c r="B457" s="138"/>
      <c r="C457" s="138"/>
      <c r="D457" s="138"/>
      <c r="E457" s="138"/>
      <c r="F457" s="138"/>
      <c r="G457" s="138"/>
      <c r="H457" s="138"/>
      <c r="I457" s="138"/>
      <c r="J457" s="138"/>
      <c r="K457" s="138"/>
      <c r="L457" s="138"/>
      <c r="M457" s="138"/>
      <c r="N457" s="138"/>
      <c r="O457" s="138"/>
      <c r="P457" s="138"/>
    </row>
    <row r="458">
      <c r="A458" s="138"/>
      <c r="B458" s="138"/>
      <c r="C458" s="138"/>
      <c r="D458" s="138"/>
      <c r="E458" s="138"/>
      <c r="F458" s="138"/>
      <c r="G458" s="138"/>
      <c r="H458" s="138"/>
      <c r="I458" s="138"/>
      <c r="J458" s="138"/>
      <c r="K458" s="138"/>
      <c r="L458" s="138"/>
      <c r="M458" s="138"/>
      <c r="N458" s="138"/>
      <c r="O458" s="138"/>
      <c r="P458" s="138"/>
    </row>
    <row r="459">
      <c r="A459" s="138"/>
      <c r="B459" s="138"/>
      <c r="C459" s="138"/>
      <c r="D459" s="138"/>
      <c r="E459" s="138"/>
      <c r="F459" s="138"/>
      <c r="G459" s="138"/>
      <c r="H459" s="138"/>
      <c r="I459" s="138"/>
      <c r="J459" s="138"/>
      <c r="K459" s="138"/>
      <c r="L459" s="138"/>
      <c r="M459" s="138"/>
      <c r="N459" s="138"/>
      <c r="O459" s="138"/>
      <c r="P459" s="138"/>
    </row>
    <row r="460">
      <c r="A460" s="138"/>
      <c r="B460" s="138"/>
      <c r="C460" s="138"/>
      <c r="D460" s="138"/>
      <c r="E460" s="138"/>
      <c r="F460" s="138"/>
      <c r="G460" s="138"/>
      <c r="H460" s="138"/>
      <c r="I460" s="138"/>
      <c r="J460" s="138"/>
      <c r="K460" s="138"/>
      <c r="L460" s="138"/>
      <c r="M460" s="138"/>
      <c r="N460" s="138"/>
      <c r="O460" s="138"/>
      <c r="P460" s="138"/>
    </row>
    <row r="461">
      <c r="A461" s="138"/>
      <c r="B461" s="138"/>
      <c r="C461" s="138"/>
      <c r="D461" s="138"/>
      <c r="E461" s="138"/>
      <c r="F461" s="138"/>
      <c r="G461" s="138"/>
      <c r="H461" s="138"/>
      <c r="I461" s="138"/>
      <c r="J461" s="138"/>
      <c r="K461" s="138"/>
      <c r="L461" s="138"/>
      <c r="M461" s="138"/>
      <c r="N461" s="138"/>
      <c r="O461" s="138"/>
      <c r="P461" s="138"/>
    </row>
    <row r="462">
      <c r="A462" s="138"/>
      <c r="B462" s="138"/>
      <c r="C462" s="138"/>
      <c r="D462" s="138"/>
      <c r="E462" s="138"/>
      <c r="F462" s="138"/>
      <c r="G462" s="138"/>
      <c r="H462" s="138"/>
      <c r="I462" s="138"/>
      <c r="J462" s="138"/>
      <c r="K462" s="138"/>
      <c r="L462" s="138"/>
      <c r="M462" s="138"/>
      <c r="N462" s="138"/>
      <c r="O462" s="138"/>
      <c r="P462" s="138"/>
    </row>
    <row r="463">
      <c r="A463" s="138"/>
      <c r="B463" s="138"/>
      <c r="C463" s="138"/>
      <c r="D463" s="138"/>
      <c r="E463" s="138"/>
      <c r="F463" s="138"/>
      <c r="G463" s="138"/>
      <c r="H463" s="138"/>
      <c r="I463" s="138"/>
      <c r="J463" s="138"/>
      <c r="K463" s="138"/>
      <c r="L463" s="138"/>
      <c r="M463" s="138"/>
      <c r="N463" s="138"/>
      <c r="O463" s="138"/>
      <c r="P463" s="138"/>
    </row>
    <row r="464">
      <c r="A464" s="138"/>
      <c r="B464" s="138"/>
      <c r="C464" s="138"/>
      <c r="D464" s="138"/>
      <c r="E464" s="138"/>
      <c r="F464" s="138"/>
      <c r="G464" s="138"/>
      <c r="H464" s="138"/>
      <c r="I464" s="138"/>
      <c r="J464" s="138"/>
      <c r="K464" s="138"/>
      <c r="L464" s="138"/>
      <c r="M464" s="138"/>
      <c r="N464" s="138"/>
      <c r="O464" s="138"/>
      <c r="P464" s="138"/>
    </row>
    <row r="465">
      <c r="A465" s="138"/>
      <c r="B465" s="138"/>
      <c r="C465" s="138"/>
      <c r="D465" s="138"/>
      <c r="E465" s="138"/>
      <c r="F465" s="138"/>
      <c r="G465" s="138"/>
      <c r="H465" s="138"/>
      <c r="I465" s="138"/>
      <c r="J465" s="138"/>
      <c r="K465" s="138"/>
      <c r="L465" s="138"/>
      <c r="M465" s="138"/>
      <c r="N465" s="138"/>
      <c r="O465" s="138"/>
      <c r="P465" s="138"/>
    </row>
    <row r="466">
      <c r="A466" s="138"/>
      <c r="B466" s="138"/>
      <c r="C466" s="138"/>
      <c r="D466" s="138"/>
      <c r="E466" s="138"/>
      <c r="F466" s="138"/>
      <c r="G466" s="138"/>
      <c r="H466" s="138"/>
      <c r="I466" s="138"/>
      <c r="J466" s="138"/>
      <c r="K466" s="138"/>
      <c r="L466" s="138"/>
      <c r="M466" s="138"/>
      <c r="N466" s="138"/>
      <c r="O466" s="138"/>
      <c r="P466" s="138"/>
    </row>
    <row r="467">
      <c r="A467" s="138"/>
      <c r="B467" s="138"/>
      <c r="C467" s="138"/>
      <c r="D467" s="138"/>
      <c r="E467" s="138"/>
      <c r="F467" s="138"/>
      <c r="G467" s="138"/>
      <c r="H467" s="138"/>
      <c r="I467" s="138"/>
      <c r="J467" s="138"/>
      <c r="K467" s="138"/>
      <c r="L467" s="138"/>
      <c r="M467" s="138"/>
      <c r="N467" s="138"/>
      <c r="O467" s="138"/>
      <c r="P467" s="138"/>
    </row>
    <row r="468">
      <c r="A468" s="138"/>
      <c r="B468" s="138"/>
      <c r="C468" s="138"/>
      <c r="D468" s="138"/>
      <c r="E468" s="138"/>
      <c r="F468" s="138"/>
      <c r="G468" s="138"/>
      <c r="H468" s="138"/>
      <c r="I468" s="138"/>
      <c r="J468" s="138"/>
      <c r="K468" s="138"/>
      <c r="L468" s="138"/>
      <c r="M468" s="138"/>
      <c r="N468" s="138"/>
      <c r="O468" s="138"/>
      <c r="P468" s="138"/>
    </row>
    <row r="469">
      <c r="A469" s="138"/>
      <c r="B469" s="138"/>
      <c r="C469" s="138"/>
      <c r="D469" s="138"/>
      <c r="E469" s="138"/>
      <c r="F469" s="138"/>
      <c r="G469" s="138"/>
      <c r="H469" s="138"/>
      <c r="I469" s="138"/>
      <c r="J469" s="138"/>
      <c r="K469" s="138"/>
      <c r="L469" s="138"/>
      <c r="M469" s="138"/>
      <c r="N469" s="138"/>
      <c r="O469" s="138"/>
      <c r="P469" s="138"/>
    </row>
    <row r="470">
      <c r="A470" s="138"/>
      <c r="B470" s="138"/>
      <c r="C470" s="138"/>
      <c r="D470" s="138"/>
      <c r="E470" s="138"/>
      <c r="F470" s="138"/>
      <c r="G470" s="138"/>
      <c r="H470" s="138"/>
      <c r="I470" s="138"/>
      <c r="J470" s="138"/>
      <c r="K470" s="138"/>
      <c r="L470" s="138"/>
      <c r="M470" s="138"/>
      <c r="N470" s="138"/>
      <c r="O470" s="138"/>
      <c r="P470" s="138"/>
    </row>
    <row r="471">
      <c r="A471" s="138"/>
      <c r="B471" s="138"/>
      <c r="C471" s="138"/>
      <c r="D471" s="138"/>
      <c r="E471" s="138"/>
      <c r="F471" s="138"/>
      <c r="G471" s="138"/>
      <c r="H471" s="138"/>
      <c r="I471" s="138"/>
      <c r="J471" s="138"/>
      <c r="K471" s="138"/>
      <c r="L471" s="138"/>
      <c r="M471" s="138"/>
      <c r="N471" s="138"/>
      <c r="O471" s="138"/>
      <c r="P471" s="138"/>
    </row>
    <row r="472">
      <c r="A472" s="138"/>
      <c r="B472" s="138"/>
      <c r="C472" s="138"/>
      <c r="D472" s="138"/>
      <c r="E472" s="138"/>
      <c r="F472" s="138"/>
      <c r="G472" s="138"/>
      <c r="H472" s="138"/>
      <c r="I472" s="138"/>
      <c r="J472" s="138"/>
      <c r="K472" s="138"/>
      <c r="L472" s="138"/>
      <c r="M472" s="138"/>
      <c r="N472" s="138"/>
      <c r="O472" s="138"/>
      <c r="P472" s="138"/>
    </row>
    <row r="473">
      <c r="A473" s="138"/>
      <c r="B473" s="138"/>
      <c r="C473" s="138"/>
      <c r="D473" s="138"/>
      <c r="E473" s="138"/>
      <c r="F473" s="138"/>
      <c r="G473" s="138"/>
      <c r="H473" s="138"/>
      <c r="I473" s="138"/>
      <c r="J473" s="138"/>
      <c r="K473" s="138"/>
      <c r="L473" s="138"/>
      <c r="M473" s="138"/>
      <c r="N473" s="138"/>
      <c r="O473" s="138"/>
      <c r="P473" s="138"/>
    </row>
    <row r="474">
      <c r="A474" s="138"/>
      <c r="B474" s="138"/>
      <c r="C474" s="138"/>
      <c r="D474" s="138"/>
      <c r="E474" s="138"/>
      <c r="F474" s="138"/>
      <c r="G474" s="138"/>
      <c r="H474" s="138"/>
      <c r="I474" s="138"/>
      <c r="J474" s="138"/>
      <c r="K474" s="138"/>
      <c r="L474" s="138"/>
      <c r="M474" s="138"/>
      <c r="N474" s="138"/>
      <c r="O474" s="138"/>
      <c r="P474" s="138"/>
    </row>
    <row r="475">
      <c r="A475" s="138"/>
      <c r="B475" s="138"/>
      <c r="C475" s="138"/>
      <c r="D475" s="138"/>
      <c r="E475" s="138"/>
      <c r="F475" s="138"/>
      <c r="G475" s="138"/>
      <c r="H475" s="138"/>
      <c r="I475" s="138"/>
      <c r="J475" s="138"/>
      <c r="K475" s="138"/>
      <c r="L475" s="138"/>
      <c r="M475" s="138"/>
      <c r="N475" s="138"/>
      <c r="O475" s="138"/>
      <c r="P475" s="138"/>
    </row>
    <row r="476">
      <c r="A476" s="138"/>
      <c r="B476" s="138"/>
      <c r="C476" s="138"/>
      <c r="D476" s="138"/>
      <c r="E476" s="138"/>
      <c r="F476" s="138"/>
      <c r="G476" s="138"/>
      <c r="H476" s="138"/>
      <c r="I476" s="138"/>
      <c r="J476" s="138"/>
      <c r="K476" s="138"/>
      <c r="L476" s="138"/>
      <c r="M476" s="138"/>
      <c r="N476" s="138"/>
      <c r="O476" s="138"/>
      <c r="P476" s="138"/>
    </row>
    <row r="477">
      <c r="A477" s="138"/>
      <c r="B477" s="138"/>
      <c r="C477" s="138"/>
      <c r="D477" s="138"/>
      <c r="E477" s="138"/>
      <c r="F477" s="138"/>
      <c r="G477" s="138"/>
      <c r="H477" s="138"/>
      <c r="I477" s="138"/>
      <c r="J477" s="138"/>
      <c r="K477" s="138"/>
      <c r="L477" s="138"/>
      <c r="M477" s="138"/>
      <c r="N477" s="138"/>
      <c r="O477" s="138"/>
      <c r="P477" s="138"/>
    </row>
    <row r="478">
      <c r="A478" s="138"/>
      <c r="B478" s="138"/>
      <c r="C478" s="138"/>
      <c r="D478" s="138"/>
      <c r="E478" s="138"/>
      <c r="F478" s="138"/>
      <c r="G478" s="138"/>
      <c r="H478" s="138"/>
      <c r="I478" s="138"/>
      <c r="J478" s="138"/>
      <c r="K478" s="138"/>
      <c r="L478" s="138"/>
      <c r="M478" s="138"/>
      <c r="N478" s="138"/>
      <c r="O478" s="138"/>
      <c r="P478" s="138"/>
    </row>
    <row r="479">
      <c r="A479" s="138"/>
      <c r="B479" s="138"/>
      <c r="C479" s="138"/>
      <c r="D479" s="138"/>
      <c r="E479" s="138"/>
      <c r="F479" s="138"/>
      <c r="G479" s="138"/>
      <c r="H479" s="138"/>
      <c r="I479" s="138"/>
      <c r="J479" s="138"/>
      <c r="K479" s="138"/>
      <c r="L479" s="138"/>
      <c r="M479" s="138"/>
      <c r="N479" s="138"/>
      <c r="O479" s="138"/>
      <c r="P479" s="138"/>
    </row>
    <row r="480">
      <c r="A480" s="138"/>
      <c r="B480" s="138"/>
      <c r="C480" s="138"/>
      <c r="D480" s="138"/>
      <c r="E480" s="138"/>
      <c r="F480" s="138"/>
      <c r="G480" s="138"/>
      <c r="H480" s="138"/>
      <c r="I480" s="138"/>
      <c r="J480" s="138"/>
      <c r="K480" s="138"/>
      <c r="L480" s="138"/>
      <c r="M480" s="138"/>
      <c r="N480" s="138"/>
      <c r="O480" s="138"/>
      <c r="P480" s="138"/>
    </row>
    <row r="481">
      <c r="A481" s="138"/>
      <c r="B481" s="138"/>
      <c r="C481" s="138"/>
      <c r="D481" s="138"/>
      <c r="E481" s="138"/>
      <c r="F481" s="138"/>
      <c r="G481" s="138"/>
      <c r="H481" s="138"/>
      <c r="I481" s="138"/>
      <c r="J481" s="138"/>
      <c r="K481" s="138"/>
      <c r="L481" s="138"/>
      <c r="M481" s="138"/>
      <c r="N481" s="138"/>
      <c r="O481" s="138"/>
      <c r="P481" s="138"/>
    </row>
    <row r="482">
      <c r="A482" s="138"/>
      <c r="B482" s="138"/>
      <c r="C482" s="138"/>
      <c r="D482" s="138"/>
      <c r="E482" s="138"/>
      <c r="F482" s="138"/>
      <c r="G482" s="138"/>
      <c r="H482" s="138"/>
      <c r="I482" s="138"/>
      <c r="J482" s="138"/>
      <c r="K482" s="138"/>
      <c r="L482" s="138"/>
      <c r="M482" s="138"/>
      <c r="N482" s="138"/>
      <c r="O482" s="138"/>
      <c r="P482" s="138"/>
    </row>
    <row r="483">
      <c r="A483" s="138"/>
      <c r="B483" s="138"/>
      <c r="C483" s="138"/>
      <c r="D483" s="138"/>
      <c r="E483" s="138"/>
      <c r="F483" s="138"/>
      <c r="G483" s="138"/>
      <c r="H483" s="138"/>
      <c r="I483" s="138"/>
      <c r="J483" s="138"/>
      <c r="K483" s="138"/>
      <c r="L483" s="138"/>
      <c r="M483" s="138"/>
      <c r="N483" s="138"/>
      <c r="O483" s="138"/>
      <c r="P483" s="138"/>
    </row>
    <row r="484">
      <c r="A484" s="138"/>
      <c r="B484" s="138"/>
      <c r="C484" s="138"/>
      <c r="D484" s="138"/>
      <c r="E484" s="138"/>
      <c r="F484" s="138"/>
      <c r="G484" s="138"/>
      <c r="H484" s="138"/>
      <c r="I484" s="138"/>
      <c r="J484" s="138"/>
      <c r="K484" s="138"/>
      <c r="L484" s="138"/>
      <c r="M484" s="138"/>
      <c r="N484" s="138"/>
      <c r="O484" s="138"/>
      <c r="P484" s="138"/>
    </row>
    <row r="485">
      <c r="A485" s="138"/>
      <c r="B485" s="138"/>
      <c r="C485" s="138"/>
      <c r="D485" s="138"/>
      <c r="E485" s="138"/>
      <c r="F485" s="138"/>
      <c r="G485" s="138"/>
      <c r="H485" s="138"/>
      <c r="I485" s="138"/>
      <c r="J485" s="138"/>
      <c r="K485" s="138"/>
      <c r="L485" s="138"/>
      <c r="M485" s="138"/>
      <c r="N485" s="138"/>
      <c r="O485" s="138"/>
      <c r="P485" s="138"/>
    </row>
    <row r="486">
      <c r="A486" s="138"/>
      <c r="B486" s="138"/>
      <c r="C486" s="138"/>
      <c r="D486" s="138"/>
      <c r="E486" s="138"/>
      <c r="F486" s="138"/>
      <c r="G486" s="138"/>
      <c r="H486" s="138"/>
      <c r="I486" s="138"/>
      <c r="J486" s="138"/>
      <c r="K486" s="138"/>
      <c r="L486" s="138"/>
      <c r="M486" s="138"/>
      <c r="N486" s="138"/>
      <c r="O486" s="138"/>
      <c r="P486" s="138"/>
    </row>
    <row r="487">
      <c r="A487" s="138"/>
      <c r="B487" s="138"/>
      <c r="C487" s="138"/>
      <c r="D487" s="138"/>
      <c r="E487" s="138"/>
      <c r="F487" s="138"/>
      <c r="G487" s="138"/>
      <c r="H487" s="138"/>
      <c r="I487" s="138"/>
      <c r="J487" s="138"/>
      <c r="K487" s="138"/>
      <c r="L487" s="138"/>
      <c r="M487" s="138"/>
      <c r="N487" s="138"/>
      <c r="O487" s="138"/>
      <c r="P487" s="138"/>
    </row>
    <row r="488">
      <c r="A488" s="138"/>
      <c r="B488" s="138"/>
      <c r="C488" s="138"/>
      <c r="D488" s="138"/>
      <c r="E488" s="138"/>
      <c r="F488" s="138"/>
      <c r="G488" s="138"/>
      <c r="H488" s="138"/>
      <c r="I488" s="138"/>
      <c r="J488" s="138"/>
      <c r="K488" s="138"/>
      <c r="L488" s="138"/>
      <c r="M488" s="138"/>
      <c r="N488" s="138"/>
      <c r="O488" s="138"/>
      <c r="P488" s="138"/>
    </row>
    <row r="489">
      <c r="A489" s="138"/>
      <c r="B489" s="138"/>
      <c r="C489" s="138"/>
      <c r="D489" s="138"/>
      <c r="E489" s="138"/>
      <c r="F489" s="138"/>
      <c r="G489" s="138"/>
      <c r="H489" s="138"/>
      <c r="I489" s="138"/>
      <c r="J489" s="138"/>
      <c r="K489" s="138"/>
      <c r="L489" s="138"/>
      <c r="M489" s="138"/>
      <c r="N489" s="138"/>
      <c r="O489" s="138"/>
      <c r="P489" s="138"/>
    </row>
    <row r="490">
      <c r="A490" s="138"/>
      <c r="B490" s="138"/>
      <c r="C490" s="138"/>
      <c r="D490" s="138"/>
      <c r="E490" s="138"/>
      <c r="F490" s="138"/>
      <c r="G490" s="138"/>
      <c r="H490" s="138"/>
      <c r="I490" s="138"/>
      <c r="J490" s="138"/>
      <c r="K490" s="138"/>
      <c r="L490" s="138"/>
      <c r="M490" s="138"/>
      <c r="N490" s="138"/>
      <c r="O490" s="138"/>
      <c r="P490" s="138"/>
    </row>
    <row r="491">
      <c r="A491" s="138"/>
      <c r="B491" s="138"/>
      <c r="C491" s="138"/>
      <c r="D491" s="138"/>
      <c r="E491" s="138"/>
      <c r="F491" s="138"/>
      <c r="G491" s="138"/>
      <c r="H491" s="138"/>
      <c r="I491" s="138"/>
      <c r="J491" s="138"/>
      <c r="K491" s="138"/>
      <c r="L491" s="138"/>
      <c r="M491" s="138"/>
      <c r="N491" s="138"/>
      <c r="O491" s="138"/>
      <c r="P491" s="138"/>
    </row>
    <row r="492">
      <c r="A492" s="138"/>
      <c r="B492" s="138"/>
      <c r="C492" s="138"/>
      <c r="D492" s="138"/>
      <c r="E492" s="138"/>
      <c r="F492" s="138"/>
      <c r="G492" s="138"/>
      <c r="H492" s="138"/>
      <c r="I492" s="138"/>
      <c r="J492" s="138"/>
      <c r="K492" s="138"/>
      <c r="L492" s="138"/>
      <c r="M492" s="138"/>
      <c r="N492" s="138"/>
      <c r="O492" s="138"/>
      <c r="P492" s="138"/>
    </row>
    <row r="493">
      <c r="A493" s="138"/>
      <c r="B493" s="138"/>
      <c r="C493" s="138"/>
      <c r="D493" s="138"/>
      <c r="E493" s="138"/>
      <c r="F493" s="138"/>
      <c r="G493" s="138"/>
      <c r="H493" s="138"/>
      <c r="I493" s="138"/>
      <c r="J493" s="138"/>
      <c r="K493" s="138"/>
      <c r="L493" s="138"/>
      <c r="M493" s="138"/>
      <c r="N493" s="138"/>
      <c r="O493" s="138"/>
      <c r="P493" s="138"/>
    </row>
    <row r="494">
      <c r="A494" s="138"/>
      <c r="B494" s="138"/>
      <c r="C494" s="138"/>
      <c r="D494" s="138"/>
      <c r="E494" s="138"/>
      <c r="F494" s="138"/>
      <c r="G494" s="138"/>
      <c r="H494" s="138"/>
      <c r="I494" s="138"/>
      <c r="J494" s="138"/>
      <c r="K494" s="138"/>
      <c r="L494" s="138"/>
      <c r="M494" s="138"/>
      <c r="N494" s="138"/>
      <c r="O494" s="138"/>
      <c r="P494" s="138"/>
    </row>
    <row r="495">
      <c r="A495" s="138"/>
      <c r="B495" s="138"/>
      <c r="C495" s="138"/>
      <c r="D495" s="138"/>
      <c r="E495" s="138"/>
      <c r="F495" s="138"/>
      <c r="G495" s="138"/>
      <c r="H495" s="138"/>
      <c r="I495" s="138"/>
      <c r="J495" s="138"/>
      <c r="K495" s="138"/>
      <c r="L495" s="138"/>
      <c r="M495" s="138"/>
      <c r="N495" s="138"/>
      <c r="O495" s="138"/>
      <c r="P495" s="138"/>
    </row>
    <row r="496">
      <c r="A496" s="138"/>
      <c r="B496" s="138"/>
      <c r="C496" s="138"/>
      <c r="D496" s="138"/>
      <c r="E496" s="138"/>
      <c r="F496" s="138"/>
      <c r="G496" s="138"/>
      <c r="H496" s="138"/>
      <c r="I496" s="138"/>
      <c r="J496" s="138"/>
      <c r="K496" s="138"/>
      <c r="L496" s="138"/>
      <c r="M496" s="138"/>
      <c r="N496" s="138"/>
      <c r="O496" s="138"/>
      <c r="P496" s="138"/>
    </row>
    <row r="497">
      <c r="A497" s="138"/>
      <c r="B497" s="138"/>
      <c r="C497" s="138"/>
      <c r="D497" s="138"/>
      <c r="E497" s="138"/>
      <c r="F497" s="138"/>
      <c r="G497" s="138"/>
      <c r="H497" s="138"/>
      <c r="I497" s="138"/>
      <c r="J497" s="138"/>
      <c r="K497" s="138"/>
      <c r="L497" s="138"/>
      <c r="M497" s="138"/>
      <c r="N497" s="138"/>
      <c r="O497" s="138"/>
      <c r="P497" s="138"/>
    </row>
    <row r="498">
      <c r="A498" s="138"/>
      <c r="B498" s="138"/>
      <c r="C498" s="138"/>
      <c r="D498" s="138"/>
      <c r="E498" s="138"/>
      <c r="F498" s="138"/>
      <c r="G498" s="138"/>
      <c r="H498" s="138"/>
      <c r="I498" s="138"/>
      <c r="J498" s="138"/>
      <c r="K498" s="138"/>
      <c r="L498" s="138"/>
      <c r="M498" s="138"/>
      <c r="N498" s="138"/>
      <c r="O498" s="138"/>
      <c r="P498" s="138"/>
    </row>
    <row r="499">
      <c r="A499" s="138"/>
      <c r="B499" s="138"/>
      <c r="C499" s="138"/>
      <c r="D499" s="138"/>
      <c r="E499" s="138"/>
      <c r="F499" s="138"/>
      <c r="G499" s="138"/>
      <c r="H499" s="138"/>
      <c r="I499" s="138"/>
      <c r="J499" s="138"/>
      <c r="K499" s="138"/>
      <c r="L499" s="138"/>
      <c r="M499" s="138"/>
      <c r="N499" s="138"/>
      <c r="O499" s="138"/>
      <c r="P499" s="138"/>
    </row>
    <row r="500">
      <c r="A500" s="138"/>
      <c r="B500" s="138"/>
      <c r="C500" s="138"/>
      <c r="D500" s="138"/>
      <c r="E500" s="138"/>
      <c r="F500" s="138"/>
      <c r="G500" s="138"/>
      <c r="H500" s="138"/>
      <c r="I500" s="138"/>
      <c r="J500" s="138"/>
      <c r="K500" s="138"/>
      <c r="L500" s="138"/>
      <c r="M500" s="138"/>
      <c r="N500" s="138"/>
      <c r="O500" s="138"/>
      <c r="P500" s="138"/>
    </row>
    <row r="501">
      <c r="A501" s="138"/>
      <c r="B501" s="138"/>
      <c r="C501" s="138"/>
      <c r="D501" s="138"/>
      <c r="E501" s="138"/>
      <c r="F501" s="138"/>
      <c r="G501" s="138"/>
      <c r="H501" s="138"/>
      <c r="I501" s="138"/>
      <c r="J501" s="138"/>
      <c r="K501" s="138"/>
      <c r="L501" s="138"/>
      <c r="M501" s="138"/>
      <c r="N501" s="138"/>
      <c r="O501" s="138"/>
      <c r="P501" s="138"/>
    </row>
    <row r="502">
      <c r="A502" s="138"/>
      <c r="B502" s="138"/>
      <c r="C502" s="138"/>
      <c r="D502" s="138"/>
      <c r="E502" s="138"/>
      <c r="F502" s="138"/>
      <c r="G502" s="138"/>
      <c r="H502" s="138"/>
      <c r="I502" s="138"/>
      <c r="J502" s="138"/>
      <c r="K502" s="138"/>
      <c r="L502" s="138"/>
      <c r="M502" s="138"/>
      <c r="N502" s="138"/>
      <c r="O502" s="138"/>
      <c r="P502" s="138"/>
    </row>
    <row r="503">
      <c r="A503" s="138"/>
      <c r="B503" s="138"/>
      <c r="C503" s="138"/>
      <c r="D503" s="138"/>
      <c r="E503" s="138"/>
      <c r="F503" s="138"/>
      <c r="G503" s="138"/>
      <c r="H503" s="138"/>
      <c r="I503" s="138"/>
      <c r="J503" s="138"/>
      <c r="K503" s="138"/>
      <c r="L503" s="138"/>
      <c r="M503" s="138"/>
      <c r="N503" s="138"/>
      <c r="O503" s="138"/>
      <c r="P503" s="138"/>
    </row>
    <row r="504">
      <c r="A504" s="138"/>
      <c r="B504" s="138"/>
      <c r="C504" s="138"/>
      <c r="D504" s="138"/>
      <c r="E504" s="138"/>
      <c r="F504" s="138"/>
      <c r="G504" s="138"/>
      <c r="H504" s="138"/>
      <c r="I504" s="138"/>
      <c r="J504" s="138"/>
      <c r="K504" s="138"/>
      <c r="L504" s="138"/>
      <c r="M504" s="138"/>
      <c r="N504" s="138"/>
      <c r="O504" s="138"/>
      <c r="P504" s="138"/>
    </row>
    <row r="505">
      <c r="A505" s="138"/>
      <c r="B505" s="138"/>
      <c r="C505" s="138"/>
      <c r="D505" s="138"/>
      <c r="E505" s="138"/>
      <c r="F505" s="138"/>
      <c r="G505" s="138"/>
      <c r="H505" s="138"/>
      <c r="I505" s="138"/>
      <c r="J505" s="138"/>
      <c r="K505" s="138"/>
      <c r="L505" s="138"/>
      <c r="M505" s="138"/>
      <c r="N505" s="138"/>
      <c r="O505" s="138"/>
      <c r="P505" s="138"/>
    </row>
    <row r="506">
      <c r="A506" s="138"/>
      <c r="B506" s="138"/>
      <c r="C506" s="138"/>
      <c r="D506" s="138"/>
      <c r="E506" s="138"/>
      <c r="F506" s="138"/>
      <c r="G506" s="138"/>
      <c r="H506" s="138"/>
      <c r="I506" s="138"/>
      <c r="J506" s="138"/>
      <c r="K506" s="138"/>
      <c r="L506" s="138"/>
      <c r="M506" s="138"/>
      <c r="N506" s="138"/>
      <c r="O506" s="138"/>
      <c r="P506" s="138"/>
    </row>
    <row r="507">
      <c r="A507" s="138"/>
      <c r="B507" s="138"/>
      <c r="C507" s="138"/>
      <c r="D507" s="138"/>
      <c r="E507" s="138"/>
      <c r="F507" s="138"/>
      <c r="G507" s="138"/>
      <c r="H507" s="138"/>
      <c r="I507" s="138"/>
      <c r="J507" s="138"/>
      <c r="K507" s="138"/>
      <c r="L507" s="138"/>
      <c r="M507" s="138"/>
      <c r="N507" s="138"/>
      <c r="O507" s="138"/>
      <c r="P507" s="138"/>
    </row>
    <row r="508">
      <c r="A508" s="138"/>
      <c r="B508" s="138"/>
      <c r="C508" s="138"/>
      <c r="D508" s="138"/>
      <c r="E508" s="138"/>
      <c r="F508" s="138"/>
      <c r="G508" s="138"/>
      <c r="H508" s="138"/>
      <c r="I508" s="138"/>
      <c r="J508" s="138"/>
      <c r="K508" s="138"/>
      <c r="L508" s="138"/>
      <c r="M508" s="138"/>
      <c r="N508" s="138"/>
      <c r="O508" s="138"/>
      <c r="P508" s="138"/>
    </row>
    <row r="509">
      <c r="A509" s="138"/>
      <c r="B509" s="138"/>
      <c r="C509" s="138"/>
      <c r="D509" s="138"/>
      <c r="E509" s="138"/>
      <c r="F509" s="138"/>
      <c r="G509" s="138"/>
      <c r="H509" s="138"/>
      <c r="I509" s="138"/>
      <c r="J509" s="138"/>
      <c r="K509" s="138"/>
      <c r="L509" s="138"/>
      <c r="M509" s="138"/>
      <c r="N509" s="138"/>
      <c r="O509" s="138"/>
      <c r="P509" s="138"/>
    </row>
    <row r="510">
      <c r="A510" s="138"/>
      <c r="B510" s="138"/>
      <c r="C510" s="138"/>
      <c r="D510" s="138"/>
      <c r="E510" s="138"/>
      <c r="F510" s="138"/>
      <c r="G510" s="138"/>
      <c r="H510" s="138"/>
      <c r="I510" s="138"/>
      <c r="J510" s="138"/>
      <c r="K510" s="138"/>
      <c r="L510" s="138"/>
      <c r="M510" s="138"/>
      <c r="N510" s="138"/>
      <c r="O510" s="138"/>
      <c r="P510" s="138"/>
    </row>
    <row r="511">
      <c r="A511" s="138"/>
      <c r="B511" s="138"/>
      <c r="C511" s="138"/>
      <c r="D511" s="138"/>
      <c r="E511" s="138"/>
      <c r="F511" s="138"/>
      <c r="G511" s="138"/>
      <c r="H511" s="138"/>
      <c r="I511" s="138"/>
      <c r="J511" s="138"/>
      <c r="K511" s="138"/>
      <c r="L511" s="138"/>
      <c r="M511" s="138"/>
      <c r="N511" s="138"/>
      <c r="O511" s="138"/>
      <c r="P511" s="138"/>
    </row>
    <row r="512">
      <c r="A512" s="138"/>
      <c r="B512" s="138"/>
      <c r="C512" s="138"/>
      <c r="D512" s="138"/>
      <c r="E512" s="138"/>
      <c r="F512" s="138"/>
      <c r="G512" s="138"/>
      <c r="H512" s="138"/>
      <c r="I512" s="138"/>
      <c r="J512" s="138"/>
      <c r="K512" s="138"/>
      <c r="L512" s="138"/>
      <c r="M512" s="138"/>
      <c r="N512" s="138"/>
      <c r="O512" s="138"/>
      <c r="P512" s="138"/>
    </row>
    <row r="513">
      <c r="A513" s="138"/>
      <c r="B513" s="138"/>
      <c r="C513" s="138"/>
      <c r="D513" s="138"/>
      <c r="E513" s="138"/>
      <c r="F513" s="138"/>
      <c r="G513" s="138"/>
      <c r="H513" s="138"/>
      <c r="I513" s="138"/>
      <c r="J513" s="138"/>
      <c r="K513" s="138"/>
      <c r="L513" s="138"/>
      <c r="M513" s="138"/>
      <c r="N513" s="138"/>
      <c r="O513" s="138"/>
      <c r="P513" s="138"/>
    </row>
    <row r="514">
      <c r="A514" s="138"/>
      <c r="B514" s="138"/>
      <c r="C514" s="138"/>
      <c r="D514" s="138"/>
      <c r="E514" s="138"/>
      <c r="F514" s="138"/>
      <c r="G514" s="138"/>
      <c r="H514" s="138"/>
      <c r="I514" s="138"/>
      <c r="J514" s="138"/>
      <c r="K514" s="138"/>
      <c r="L514" s="138"/>
      <c r="M514" s="138"/>
      <c r="N514" s="138"/>
      <c r="O514" s="138"/>
      <c r="P514" s="138"/>
    </row>
    <row r="515">
      <c r="A515" s="138"/>
      <c r="B515" s="138"/>
      <c r="C515" s="138"/>
      <c r="D515" s="138"/>
      <c r="E515" s="138"/>
      <c r="F515" s="138"/>
      <c r="G515" s="138"/>
      <c r="H515" s="138"/>
      <c r="I515" s="138"/>
      <c r="J515" s="138"/>
      <c r="K515" s="138"/>
      <c r="L515" s="138"/>
      <c r="M515" s="138"/>
      <c r="N515" s="138"/>
      <c r="O515" s="138"/>
      <c r="P515" s="138"/>
    </row>
    <row r="516">
      <c r="A516" s="138"/>
      <c r="B516" s="138"/>
      <c r="C516" s="138"/>
      <c r="D516" s="138"/>
      <c r="E516" s="138"/>
      <c r="F516" s="138"/>
      <c r="G516" s="138"/>
      <c r="H516" s="138"/>
      <c r="I516" s="138"/>
      <c r="J516" s="138"/>
      <c r="K516" s="138"/>
      <c r="L516" s="138"/>
      <c r="M516" s="138"/>
      <c r="N516" s="138"/>
      <c r="O516" s="138"/>
      <c r="P516" s="138"/>
    </row>
    <row r="517">
      <c r="A517" s="138"/>
      <c r="B517" s="138"/>
      <c r="C517" s="138"/>
      <c r="D517" s="138"/>
      <c r="E517" s="138"/>
      <c r="F517" s="138"/>
      <c r="G517" s="138"/>
      <c r="H517" s="138"/>
      <c r="I517" s="138"/>
      <c r="J517" s="138"/>
      <c r="K517" s="138"/>
      <c r="L517" s="138"/>
      <c r="M517" s="138"/>
      <c r="N517" s="138"/>
      <c r="O517" s="138"/>
      <c r="P517" s="138"/>
    </row>
    <row r="518">
      <c r="A518" s="138"/>
      <c r="B518" s="138"/>
      <c r="C518" s="138"/>
      <c r="D518" s="138"/>
      <c r="E518" s="138"/>
      <c r="F518" s="138"/>
      <c r="G518" s="138"/>
      <c r="H518" s="138"/>
      <c r="I518" s="138"/>
      <c r="J518" s="138"/>
      <c r="K518" s="138"/>
      <c r="L518" s="138"/>
      <c r="M518" s="138"/>
      <c r="N518" s="138"/>
      <c r="O518" s="138"/>
      <c r="P518" s="138"/>
    </row>
    <row r="519">
      <c r="A519" s="138"/>
      <c r="B519" s="138"/>
      <c r="C519" s="138"/>
      <c r="D519" s="138"/>
      <c r="E519" s="138"/>
      <c r="F519" s="138"/>
      <c r="G519" s="138"/>
      <c r="H519" s="138"/>
      <c r="I519" s="138"/>
      <c r="J519" s="138"/>
      <c r="K519" s="138"/>
      <c r="L519" s="138"/>
      <c r="M519" s="138"/>
      <c r="N519" s="138"/>
      <c r="O519" s="138"/>
      <c r="P519" s="138"/>
    </row>
    <row r="520">
      <c r="A520" s="138"/>
      <c r="B520" s="138"/>
      <c r="C520" s="138"/>
      <c r="D520" s="138"/>
      <c r="E520" s="138"/>
      <c r="F520" s="138"/>
      <c r="G520" s="138"/>
      <c r="H520" s="138"/>
      <c r="I520" s="138"/>
      <c r="J520" s="138"/>
      <c r="K520" s="138"/>
      <c r="L520" s="138"/>
      <c r="M520" s="138"/>
      <c r="N520" s="138"/>
      <c r="O520" s="138"/>
      <c r="P520" s="138"/>
    </row>
    <row r="521">
      <c r="A521" s="138"/>
      <c r="B521" s="138"/>
      <c r="C521" s="138"/>
      <c r="D521" s="138"/>
      <c r="E521" s="138"/>
      <c r="F521" s="138"/>
      <c r="G521" s="138"/>
      <c r="H521" s="138"/>
      <c r="I521" s="138"/>
      <c r="J521" s="138"/>
      <c r="K521" s="138"/>
      <c r="L521" s="138"/>
      <c r="M521" s="138"/>
      <c r="N521" s="138"/>
      <c r="O521" s="138"/>
      <c r="P521" s="138"/>
    </row>
    <row r="522">
      <c r="A522" s="138"/>
      <c r="B522" s="138"/>
      <c r="C522" s="138"/>
      <c r="D522" s="138"/>
      <c r="E522" s="138"/>
      <c r="F522" s="138"/>
      <c r="G522" s="138"/>
      <c r="H522" s="138"/>
      <c r="I522" s="138"/>
      <c r="J522" s="138"/>
      <c r="K522" s="138"/>
      <c r="L522" s="138"/>
      <c r="M522" s="138"/>
      <c r="N522" s="138"/>
      <c r="O522" s="138"/>
      <c r="P522" s="138"/>
    </row>
    <row r="523">
      <c r="A523" s="138"/>
      <c r="B523" s="138"/>
      <c r="C523" s="138"/>
      <c r="D523" s="138"/>
      <c r="E523" s="138"/>
      <c r="F523" s="138"/>
      <c r="G523" s="138"/>
      <c r="H523" s="138"/>
      <c r="I523" s="138"/>
      <c r="J523" s="138"/>
      <c r="K523" s="138"/>
      <c r="L523" s="138"/>
      <c r="M523" s="138"/>
      <c r="N523" s="138"/>
      <c r="O523" s="138"/>
      <c r="P523" s="138"/>
    </row>
    <row r="524">
      <c r="A524" s="138"/>
      <c r="B524" s="138"/>
      <c r="C524" s="138"/>
      <c r="D524" s="138"/>
      <c r="E524" s="138"/>
      <c r="F524" s="138"/>
      <c r="G524" s="138"/>
      <c r="H524" s="138"/>
      <c r="I524" s="138"/>
      <c r="J524" s="138"/>
      <c r="K524" s="138"/>
      <c r="L524" s="138"/>
      <c r="M524" s="138"/>
      <c r="N524" s="138"/>
      <c r="O524" s="138"/>
      <c r="P524" s="138"/>
    </row>
    <row r="525">
      <c r="A525" s="138"/>
      <c r="B525" s="138"/>
      <c r="C525" s="138"/>
      <c r="D525" s="138"/>
      <c r="E525" s="138"/>
      <c r="F525" s="138"/>
      <c r="G525" s="138"/>
      <c r="H525" s="138"/>
      <c r="I525" s="138"/>
      <c r="J525" s="138"/>
      <c r="K525" s="138"/>
      <c r="L525" s="138"/>
      <c r="M525" s="138"/>
      <c r="N525" s="138"/>
      <c r="O525" s="138"/>
      <c r="P525" s="138"/>
    </row>
    <row r="526">
      <c r="A526" s="138"/>
      <c r="B526" s="138"/>
      <c r="C526" s="138"/>
      <c r="D526" s="138"/>
      <c r="E526" s="138"/>
      <c r="F526" s="138"/>
      <c r="G526" s="138"/>
      <c r="H526" s="138"/>
      <c r="I526" s="138"/>
      <c r="J526" s="138"/>
      <c r="K526" s="138"/>
      <c r="L526" s="138"/>
      <c r="M526" s="138"/>
      <c r="N526" s="138"/>
      <c r="O526" s="138"/>
      <c r="P526" s="138"/>
    </row>
    <row r="527">
      <c r="A527" s="138"/>
      <c r="B527" s="138"/>
      <c r="C527" s="138"/>
      <c r="D527" s="138"/>
      <c r="E527" s="138"/>
      <c r="F527" s="138"/>
      <c r="G527" s="138"/>
      <c r="H527" s="138"/>
      <c r="I527" s="138"/>
      <c r="J527" s="138"/>
      <c r="K527" s="138"/>
      <c r="L527" s="138"/>
      <c r="M527" s="138"/>
      <c r="N527" s="138"/>
      <c r="O527" s="138"/>
      <c r="P527" s="138"/>
    </row>
    <row r="528">
      <c r="A528" s="138"/>
      <c r="B528" s="138"/>
      <c r="C528" s="138"/>
      <c r="D528" s="138"/>
      <c r="E528" s="138"/>
      <c r="F528" s="138"/>
      <c r="G528" s="138"/>
      <c r="H528" s="138"/>
      <c r="I528" s="138"/>
      <c r="J528" s="138"/>
      <c r="K528" s="138"/>
      <c r="L528" s="138"/>
      <c r="M528" s="138"/>
      <c r="N528" s="138"/>
      <c r="O528" s="138"/>
      <c r="P528" s="138"/>
    </row>
    <row r="529">
      <c r="A529" s="138"/>
      <c r="B529" s="138"/>
      <c r="C529" s="138"/>
      <c r="D529" s="138"/>
      <c r="E529" s="138"/>
      <c r="F529" s="138"/>
      <c r="G529" s="138"/>
      <c r="H529" s="138"/>
      <c r="I529" s="138"/>
      <c r="J529" s="138"/>
      <c r="K529" s="138"/>
      <c r="L529" s="138"/>
      <c r="M529" s="138"/>
      <c r="N529" s="138"/>
      <c r="O529" s="138"/>
      <c r="P529" s="138"/>
    </row>
    <row r="530">
      <c r="A530" s="138"/>
      <c r="B530" s="138"/>
      <c r="C530" s="138"/>
      <c r="D530" s="138"/>
      <c r="E530" s="138"/>
      <c r="F530" s="138"/>
      <c r="G530" s="138"/>
      <c r="H530" s="138"/>
      <c r="I530" s="138"/>
      <c r="J530" s="138"/>
      <c r="K530" s="138"/>
      <c r="L530" s="138"/>
      <c r="M530" s="138"/>
      <c r="N530" s="138"/>
      <c r="O530" s="138"/>
      <c r="P530" s="138"/>
    </row>
    <row r="531">
      <c r="A531" s="138"/>
      <c r="B531" s="138"/>
      <c r="C531" s="138"/>
      <c r="D531" s="138"/>
      <c r="E531" s="138"/>
      <c r="F531" s="138"/>
      <c r="G531" s="138"/>
      <c r="H531" s="138"/>
      <c r="I531" s="138"/>
      <c r="J531" s="138"/>
      <c r="K531" s="138"/>
      <c r="L531" s="138"/>
      <c r="M531" s="138"/>
      <c r="N531" s="138"/>
      <c r="O531" s="138"/>
      <c r="P531" s="138"/>
    </row>
    <row r="532">
      <c r="A532" s="138"/>
      <c r="B532" s="138"/>
      <c r="C532" s="138"/>
      <c r="D532" s="138"/>
      <c r="E532" s="138"/>
      <c r="F532" s="138"/>
      <c r="G532" s="138"/>
      <c r="H532" s="138"/>
      <c r="I532" s="138"/>
      <c r="J532" s="138"/>
      <c r="K532" s="138"/>
      <c r="L532" s="138"/>
      <c r="M532" s="138"/>
      <c r="N532" s="138"/>
      <c r="O532" s="138"/>
      <c r="P532" s="138"/>
    </row>
    <row r="533">
      <c r="A533" s="138"/>
      <c r="B533" s="138"/>
      <c r="C533" s="138"/>
      <c r="D533" s="138"/>
      <c r="E533" s="138"/>
      <c r="F533" s="138"/>
      <c r="G533" s="138"/>
      <c r="H533" s="138"/>
      <c r="I533" s="138"/>
      <c r="J533" s="138"/>
      <c r="K533" s="138"/>
      <c r="L533" s="138"/>
      <c r="M533" s="138"/>
      <c r="N533" s="138"/>
      <c r="O533" s="138"/>
      <c r="P533" s="138"/>
    </row>
    <row r="534">
      <c r="A534" s="138"/>
      <c r="B534" s="138"/>
      <c r="C534" s="138"/>
      <c r="D534" s="138"/>
      <c r="E534" s="138"/>
      <c r="F534" s="138"/>
      <c r="G534" s="138"/>
      <c r="H534" s="138"/>
      <c r="I534" s="138"/>
      <c r="J534" s="138"/>
      <c r="K534" s="138"/>
      <c r="L534" s="138"/>
      <c r="M534" s="138"/>
      <c r="N534" s="138"/>
      <c r="O534" s="138"/>
      <c r="P534" s="138"/>
    </row>
    <row r="535">
      <c r="A535" s="138"/>
      <c r="B535" s="138"/>
      <c r="C535" s="138"/>
      <c r="D535" s="138"/>
      <c r="E535" s="138"/>
      <c r="F535" s="138"/>
      <c r="G535" s="138"/>
      <c r="H535" s="138"/>
      <c r="I535" s="138"/>
      <c r="J535" s="138"/>
      <c r="K535" s="138"/>
      <c r="L535" s="138"/>
      <c r="M535" s="138"/>
      <c r="N535" s="138"/>
      <c r="O535" s="138"/>
      <c r="P535" s="138"/>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9.0"/>
    <col customWidth="1" min="3" max="3" width="48.0"/>
    <col customWidth="1" min="6" max="6" width="15.38"/>
  </cols>
  <sheetData>
    <row r="1">
      <c r="A1" s="1" t="s">
        <v>0</v>
      </c>
      <c r="B1" s="1" t="s">
        <v>1</v>
      </c>
      <c r="C1" s="2" t="s">
        <v>2</v>
      </c>
      <c r="D1" s="1" t="s">
        <v>3</v>
      </c>
      <c r="E1" s="1" t="s">
        <v>4</v>
      </c>
      <c r="F1" s="1" t="s">
        <v>5</v>
      </c>
      <c r="G1" s="1" t="s">
        <v>6</v>
      </c>
      <c r="H1" s="1" t="s">
        <v>7</v>
      </c>
      <c r="I1" s="1" t="s">
        <v>8</v>
      </c>
      <c r="J1" s="1" t="s">
        <v>9</v>
      </c>
      <c r="K1" s="1" t="s">
        <v>10</v>
      </c>
      <c r="L1" s="1" t="s">
        <v>11</v>
      </c>
      <c r="M1" s="1" t="s">
        <v>12</v>
      </c>
      <c r="N1" s="1" t="s">
        <v>13</v>
      </c>
    </row>
    <row r="2">
      <c r="A2" s="1">
        <v>10174.0</v>
      </c>
      <c r="B2" s="1" t="s">
        <v>2560</v>
      </c>
      <c r="C2" s="1" t="str">
        <f>IFERROR(__xludf.DUMMYFUNCTION("GOOGLETRANSLATE(B2)"),"Act on the promotion of electricity production in marine wind farms")</f>
        <v>Act on the promotion of electricity production in marine wind farms</v>
      </c>
      <c r="D2" s="1" t="s">
        <v>2561</v>
      </c>
      <c r="E2" s="1" t="s">
        <v>2562</v>
      </c>
      <c r="F2" s="1" t="s">
        <v>45</v>
      </c>
      <c r="G2" s="1"/>
      <c r="H2" s="1">
        <v>2020.0</v>
      </c>
      <c r="I2" s="1" t="s">
        <v>2563</v>
      </c>
      <c r="J2" s="1" t="s">
        <v>2564</v>
      </c>
      <c r="K2" s="4" t="s">
        <v>2565</v>
      </c>
      <c r="L2" s="1" t="s">
        <v>2566</v>
      </c>
      <c r="N2" s="1" t="s">
        <v>23</v>
      </c>
    </row>
    <row r="3">
      <c r="A3" s="1">
        <v>10174.0</v>
      </c>
      <c r="B3" s="1" t="s">
        <v>2567</v>
      </c>
      <c r="C3" s="1" t="str">
        <f>IFERROR(__xludf.DUMMYFUNCTION("GOOGLETRANSLATE(B3)"),"Act of 17 December 2020 on the promotion of electricity production in marine wind farms")</f>
        <v>Act of 17 December 2020 on the promotion of electricity production in marine wind farms</v>
      </c>
      <c r="D3" s="1" t="s">
        <v>2561</v>
      </c>
      <c r="E3" s="1" t="s">
        <v>2562</v>
      </c>
      <c r="F3" s="1" t="s">
        <v>45</v>
      </c>
      <c r="G3" s="1"/>
      <c r="H3" s="1">
        <v>2020.0</v>
      </c>
      <c r="I3" s="1" t="s">
        <v>2563</v>
      </c>
      <c r="J3" s="4" t="s">
        <v>2568</v>
      </c>
      <c r="K3" s="4" t="s">
        <v>2569</v>
      </c>
      <c r="L3" s="1" t="s">
        <v>2566</v>
      </c>
      <c r="N3" s="1" t="s">
        <v>229</v>
      </c>
    </row>
    <row r="4">
      <c r="A4" s="1">
        <v>1570.0</v>
      </c>
      <c r="B4" s="9" t="s">
        <v>2570</v>
      </c>
      <c r="C4" s="1" t="str">
        <f>IFERROR(__xludf.DUMMYFUNCTION("GOOGLETRANSLATE(B4)"),"Resolution of the Council of Ministers No. 92/2010 &amp; No. 93/2010")</f>
        <v>Resolution of the Council of Ministers No. 92/2010 &amp; No. 93/2010</v>
      </c>
      <c r="D4" s="1" t="s">
        <v>2571</v>
      </c>
      <c r="E4" s="1" t="s">
        <v>2572</v>
      </c>
      <c r="F4" s="9" t="s">
        <v>137</v>
      </c>
      <c r="G4" s="6"/>
      <c r="H4" s="1">
        <v>2010.0</v>
      </c>
      <c r="I4" s="1" t="s">
        <v>700</v>
      </c>
      <c r="J4" s="1" t="s">
        <v>2573</v>
      </c>
      <c r="K4" s="4" t="s">
        <v>2574</v>
      </c>
      <c r="L4" s="1" t="s">
        <v>2566</v>
      </c>
      <c r="N4" s="1" t="s">
        <v>23</v>
      </c>
    </row>
    <row r="5">
      <c r="A5" s="1">
        <v>1570.0</v>
      </c>
      <c r="B5" s="1" t="s">
        <v>2575</v>
      </c>
      <c r="C5" s="1" t="s">
        <v>2576</v>
      </c>
      <c r="D5" s="1" t="s">
        <v>2571</v>
      </c>
      <c r="E5" s="1" t="s">
        <v>2572</v>
      </c>
      <c r="F5" s="1" t="s">
        <v>2329</v>
      </c>
      <c r="G5" s="3"/>
      <c r="H5" s="3"/>
      <c r="I5" s="1" t="s">
        <v>700</v>
      </c>
      <c r="J5" s="1" t="s">
        <v>2577</v>
      </c>
      <c r="K5" s="4" t="s">
        <v>2578</v>
      </c>
      <c r="L5" s="1" t="s">
        <v>2566</v>
      </c>
      <c r="N5" s="1" t="s">
        <v>23</v>
      </c>
    </row>
    <row r="6">
      <c r="A6" s="1">
        <v>1571.0</v>
      </c>
      <c r="B6" s="1" t="s">
        <v>2579</v>
      </c>
      <c r="C6" s="1" t="str">
        <f>IFERROR(__xludf.DUMMYFUNCTION("GOOGLETRANSLATE(B6)"),"Decree-Law: Establishes the sustainability criteria for the production and use of biofuels and bioliquids and defines the boundaries of mandatory biofuels for the years 2011 to 2020")</f>
        <v>Decree-Law: Establishes the sustainability criteria for the production and use of biofuels and bioliquids and defines the boundaries of mandatory biofuels for the years 2011 to 2020</v>
      </c>
      <c r="D6" s="1" t="s">
        <v>2571</v>
      </c>
      <c r="E6" s="1" t="s">
        <v>2572</v>
      </c>
      <c r="F6" s="1" t="s">
        <v>217</v>
      </c>
      <c r="G6" s="1"/>
      <c r="H6" s="1">
        <v>2018.0</v>
      </c>
      <c r="I6" s="1" t="s">
        <v>700</v>
      </c>
      <c r="J6" s="1" t="s">
        <v>2580</v>
      </c>
      <c r="K6" s="4" t="s">
        <v>2581</v>
      </c>
      <c r="L6" s="1" t="s">
        <v>2566</v>
      </c>
      <c r="N6" s="1" t="s">
        <v>23</v>
      </c>
    </row>
    <row r="7">
      <c r="A7" s="1">
        <v>1571.0</v>
      </c>
      <c r="B7" s="1" t="s">
        <v>2582</v>
      </c>
      <c r="C7" s="1" t="str">
        <f>IFERROR(__xludf.DUMMYFUNCTION("GOOGLETRANSLATE(B7)"),"Decree-Law: Updates the goals of incorporation of biofuels in fuel for consumption in the national territory to 2021")</f>
        <v>Decree-Law: Updates the goals of incorporation of biofuels in fuel for consumption in the national territory to 2021</v>
      </c>
      <c r="D7" s="1" t="s">
        <v>2571</v>
      </c>
      <c r="E7" s="1" t="s">
        <v>2572</v>
      </c>
      <c r="F7" s="1" t="s">
        <v>217</v>
      </c>
      <c r="G7" s="1"/>
      <c r="H7" s="1">
        <v>2021.0</v>
      </c>
      <c r="I7" s="1" t="s">
        <v>700</v>
      </c>
      <c r="J7" s="1" t="s">
        <v>2583</v>
      </c>
      <c r="K7" s="4" t="s">
        <v>2584</v>
      </c>
      <c r="L7" s="1" t="s">
        <v>2566</v>
      </c>
      <c r="N7" s="1" t="s">
        <v>92</v>
      </c>
    </row>
    <row r="8">
      <c r="A8" s="1">
        <v>8279.0</v>
      </c>
      <c r="B8" s="1" t="s">
        <v>2585</v>
      </c>
      <c r="C8" s="1" t="str">
        <f>IFERROR(__xludf.DUMMYFUNCTION("GOOGLETRANSLATE(B8)"),"Decree-Law No. 64/2017 of June 12")</f>
        <v>Decree-Law No. 64/2017 of June 12</v>
      </c>
      <c r="D8" s="1" t="s">
        <v>2571</v>
      </c>
      <c r="E8" s="1" t="s">
        <v>2572</v>
      </c>
      <c r="F8" s="1" t="s">
        <v>217</v>
      </c>
      <c r="G8" s="1"/>
      <c r="H8" s="1">
        <v>2017.0</v>
      </c>
      <c r="I8" s="1" t="s">
        <v>700</v>
      </c>
      <c r="J8" s="1" t="s">
        <v>2586</v>
      </c>
      <c r="K8" s="4" t="s">
        <v>2587</v>
      </c>
      <c r="L8" s="1" t="s">
        <v>2566</v>
      </c>
      <c r="N8" s="1" t="s">
        <v>23</v>
      </c>
    </row>
    <row r="9">
      <c r="A9" s="1">
        <v>8279.0</v>
      </c>
      <c r="B9" s="1" t="s">
        <v>2588</v>
      </c>
      <c r="C9" s="1" t="str">
        <f>IFERROR(__xludf.DUMMYFUNCTION("GOOGLETRANSLATE(B9)"),"Decree-Law No. 120/2019: Amends the special and extraordinary regime for the installation and exploitation of new biomass appreciation centers")</f>
        <v>Decree-Law No. 120/2019: Amends the special and extraordinary regime for the installation and exploitation of new biomass appreciation centers</v>
      </c>
      <c r="D9" s="1" t="s">
        <v>2571</v>
      </c>
      <c r="E9" s="1" t="s">
        <v>2572</v>
      </c>
      <c r="F9" s="1" t="s">
        <v>217</v>
      </c>
      <c r="G9" s="1"/>
      <c r="H9" s="1">
        <v>2019.0</v>
      </c>
      <c r="I9" s="1" t="s">
        <v>700</v>
      </c>
      <c r="J9" s="1" t="s">
        <v>2589</v>
      </c>
      <c r="K9" s="4" t="s">
        <v>2590</v>
      </c>
      <c r="L9" s="1" t="s">
        <v>2566</v>
      </c>
      <c r="N9" s="1" t="s">
        <v>23</v>
      </c>
    </row>
    <row r="10">
      <c r="A10" s="1">
        <v>8743.0</v>
      </c>
      <c r="B10" s="1" t="s">
        <v>2591</v>
      </c>
      <c r="C10" s="1" t="str">
        <f>IFERROR(__xludf.DUMMYFUNCTION("GOOGLETRANSLATE(B10)"),"Decree of the President of the Republic No. 87/2015")</f>
        <v>Decree of the President of the Republic No. 87/2015</v>
      </c>
      <c r="D10" s="1" t="s">
        <v>2571</v>
      </c>
      <c r="E10" s="1" t="s">
        <v>2572</v>
      </c>
      <c r="F10" s="1" t="s">
        <v>217</v>
      </c>
      <c r="G10" s="1"/>
      <c r="H10" s="1">
        <v>2015.0</v>
      </c>
      <c r="I10" s="1" t="s">
        <v>700</v>
      </c>
      <c r="J10" s="1" t="s">
        <v>2592</v>
      </c>
      <c r="K10" s="4" t="s">
        <v>2593</v>
      </c>
      <c r="L10" s="1" t="s">
        <v>2566</v>
      </c>
      <c r="N10" s="1" t="s">
        <v>23</v>
      </c>
    </row>
    <row r="11">
      <c r="A11" s="1">
        <v>8743.0</v>
      </c>
      <c r="B11" s="1" t="s">
        <v>2594</v>
      </c>
      <c r="C11" s="1" t="str">
        <f>IFERROR(__xludf.DUMMYFUNCTION("GOOGLETRANSLATE(B11)"),"Resolution of the Council of Ministers No. 53/2020, of July 10: Approves the National Plan Energy and Climate 2030 (PNEC 2030)")</f>
        <v>Resolution of the Council of Ministers No. 53/2020, of July 10: Approves the National Plan Energy and Climate 2030 (PNEC 2030)</v>
      </c>
      <c r="D11" s="1" t="s">
        <v>2571</v>
      </c>
      <c r="E11" s="1" t="s">
        <v>2572</v>
      </c>
      <c r="F11" s="1" t="s">
        <v>137</v>
      </c>
      <c r="G11" s="1"/>
      <c r="H11" s="1">
        <v>2020.0</v>
      </c>
      <c r="I11" s="1" t="s">
        <v>700</v>
      </c>
      <c r="J11" s="1" t="s">
        <v>2595</v>
      </c>
      <c r="K11" s="4" t="s">
        <v>2596</v>
      </c>
      <c r="L11" s="1" t="s">
        <v>2566</v>
      </c>
      <c r="N11" s="1" t="s">
        <v>92</v>
      </c>
    </row>
    <row r="12">
      <c r="A12" s="1">
        <v>9399.0</v>
      </c>
      <c r="B12" s="1" t="s">
        <v>2597</v>
      </c>
      <c r="C12" s="1" t="str">
        <f>IFERROR(__xludf.DUMMYFUNCTION("GOOGLETRANSLATE(B12)"),"Decree-Law No. 225/2007")</f>
        <v>Decree-Law No. 225/2007</v>
      </c>
      <c r="D12" s="1" t="s">
        <v>2571</v>
      </c>
      <c r="E12" s="1" t="s">
        <v>2572</v>
      </c>
      <c r="F12" s="1" t="s">
        <v>217</v>
      </c>
      <c r="G12" s="1"/>
      <c r="H12" s="1">
        <v>2007.0</v>
      </c>
      <c r="I12" s="1" t="s">
        <v>700</v>
      </c>
      <c r="J12" s="1" t="s">
        <v>2598</v>
      </c>
      <c r="K12" s="4" t="s">
        <v>2599</v>
      </c>
      <c r="L12" s="1" t="s">
        <v>2566</v>
      </c>
      <c r="N12" s="1" t="s">
        <v>23</v>
      </c>
    </row>
    <row r="13">
      <c r="A13" s="1">
        <v>9399.0</v>
      </c>
      <c r="B13" s="1" t="s">
        <v>2600</v>
      </c>
      <c r="C13" s="1" t="str">
        <f>IFERROR(__xludf.DUMMYFUNCTION("GOOGLETRANSLATE(B13)"),"Decree-Law No. 33-A/2005")</f>
        <v>Decree-Law No. 33-A/2005</v>
      </c>
      <c r="D13" s="1" t="s">
        <v>2571</v>
      </c>
      <c r="E13" s="1" t="s">
        <v>2572</v>
      </c>
      <c r="F13" s="1" t="s">
        <v>217</v>
      </c>
      <c r="G13" s="1"/>
      <c r="H13" s="1">
        <v>2005.0</v>
      </c>
      <c r="I13" s="1" t="s">
        <v>700</v>
      </c>
      <c r="J13" s="1" t="s">
        <v>2601</v>
      </c>
      <c r="K13" s="4" t="s">
        <v>2602</v>
      </c>
      <c r="L13" s="1" t="s">
        <v>2566</v>
      </c>
      <c r="N13" s="1" t="s">
        <v>23</v>
      </c>
    </row>
    <row r="14">
      <c r="A14" s="1">
        <v>9401.0</v>
      </c>
      <c r="B14" s="1" t="s">
        <v>2603</v>
      </c>
      <c r="C14" s="1" t="str">
        <f>IFERROR(__xludf.DUMMYFUNCTION("GOOGLETRANSLATE(B14)"),"Decree-Law No. 23/2010")</f>
        <v>Decree-Law No. 23/2010</v>
      </c>
      <c r="D14" s="1" t="s">
        <v>2571</v>
      </c>
      <c r="E14" s="1" t="s">
        <v>2572</v>
      </c>
      <c r="F14" s="1" t="s">
        <v>217</v>
      </c>
      <c r="G14" s="1"/>
      <c r="H14" s="1">
        <v>2010.0</v>
      </c>
      <c r="I14" s="1" t="s">
        <v>700</v>
      </c>
      <c r="J14" s="1" t="s">
        <v>2604</v>
      </c>
      <c r="K14" s="4" t="s">
        <v>2605</v>
      </c>
      <c r="L14" s="1" t="s">
        <v>2566</v>
      </c>
      <c r="N14" s="1" t="s">
        <v>23</v>
      </c>
    </row>
    <row r="15">
      <c r="A15" s="1">
        <v>9401.0</v>
      </c>
      <c r="B15" s="1" t="s">
        <v>2606</v>
      </c>
      <c r="C15" s="1" t="str">
        <f>IFERROR(__xludf.DUMMYFUNCTION("GOOGLETRANSLATE(B15)"),"Decree-Law No. 68-A/2015")</f>
        <v>Decree-Law No. 68-A/2015</v>
      </c>
      <c r="D15" s="1" t="s">
        <v>2571</v>
      </c>
      <c r="E15" s="1" t="s">
        <v>2572</v>
      </c>
      <c r="F15" s="1" t="s">
        <v>217</v>
      </c>
      <c r="G15" s="1"/>
      <c r="H15" s="1">
        <v>2015.0</v>
      </c>
      <c r="I15" s="1" t="s">
        <v>700</v>
      </c>
      <c r="J15" s="1" t="s">
        <v>2607</v>
      </c>
      <c r="K15" s="4" t="s">
        <v>2608</v>
      </c>
      <c r="L15" s="1" t="s">
        <v>2566</v>
      </c>
      <c r="N15" s="1" t="s">
        <v>23</v>
      </c>
    </row>
    <row r="16">
      <c r="A16" s="1">
        <v>9435.0</v>
      </c>
      <c r="B16" s="1" t="s">
        <v>2609</v>
      </c>
      <c r="C16" s="1" t="str">
        <f>IFERROR(__xludf.DUMMYFUNCTION("GOOGLETRANSLATE(B16)"),"Decree-Law No. 85/2019")</f>
        <v>Decree-Law No. 85/2019</v>
      </c>
      <c r="D16" s="1" t="s">
        <v>2571</v>
      </c>
      <c r="E16" s="1" t="s">
        <v>2572</v>
      </c>
      <c r="F16" s="1" t="s">
        <v>217</v>
      </c>
      <c r="G16" s="1"/>
      <c r="H16" s="1">
        <v>2019.0</v>
      </c>
      <c r="I16" s="1" t="s">
        <v>700</v>
      </c>
      <c r="J16" s="1" t="s">
        <v>2610</v>
      </c>
      <c r="K16" s="4" t="s">
        <v>2611</v>
      </c>
      <c r="L16" s="1" t="s">
        <v>2566</v>
      </c>
      <c r="N16" s="1" t="s">
        <v>23</v>
      </c>
    </row>
    <row r="17">
      <c r="A17" s="9">
        <v>9435.0</v>
      </c>
      <c r="B17" s="3"/>
      <c r="C17" s="9" t="str">
        <f>IFERROR(__xludf.DUMMYFUNCTION("GOOGLETRANSLATE(B17)"),"#VALUE!")</f>
        <v>#VALUE!</v>
      </c>
      <c r="D17" s="9" t="s">
        <v>2571</v>
      </c>
      <c r="E17" s="9" t="s">
        <v>2572</v>
      </c>
      <c r="F17" s="3"/>
      <c r="G17" s="3"/>
      <c r="H17" s="3"/>
      <c r="I17" s="3"/>
      <c r="J17" s="9" t="s">
        <v>2612</v>
      </c>
      <c r="K17" s="24" t="s">
        <v>2613</v>
      </c>
      <c r="L17" s="9" t="s">
        <v>2566</v>
      </c>
      <c r="M17" s="3"/>
      <c r="N17" s="9" t="s">
        <v>326</v>
      </c>
      <c r="O17" s="3"/>
      <c r="P17" s="3"/>
      <c r="Q17" s="3"/>
      <c r="R17" s="3"/>
      <c r="S17" s="3"/>
      <c r="T17" s="3"/>
      <c r="U17" s="3"/>
      <c r="V17" s="3"/>
      <c r="W17" s="3"/>
      <c r="X17" s="3"/>
      <c r="Y17" s="3"/>
      <c r="Z17" s="3"/>
      <c r="AA17" s="3"/>
      <c r="AB17" s="3"/>
    </row>
    <row r="18">
      <c r="A18" s="1">
        <v>9513.0</v>
      </c>
      <c r="B18" s="1" t="s">
        <v>2614</v>
      </c>
      <c r="C18" s="1" t="str">
        <f>IFERROR(__xludf.DUMMYFUNCTION("GOOGLETRANSLATE(B18)"),"NATIONAL ENERGY AND CLIMATE PLAN 2021-2030")</f>
        <v>NATIONAL ENERGY AND CLIMATE PLAN 2021-2030</v>
      </c>
      <c r="D18" s="1" t="s">
        <v>2571</v>
      </c>
      <c r="E18" s="1" t="s">
        <v>2572</v>
      </c>
      <c r="F18" s="1" t="s">
        <v>234</v>
      </c>
      <c r="G18" s="1"/>
      <c r="H18" s="1">
        <v>2019.0</v>
      </c>
      <c r="I18" s="1" t="s">
        <v>24</v>
      </c>
      <c r="J18" s="1" t="s">
        <v>2615</v>
      </c>
      <c r="K18" s="4" t="s">
        <v>2616</v>
      </c>
      <c r="L18" s="1" t="s">
        <v>2566</v>
      </c>
      <c r="N18" s="1" t="s">
        <v>23</v>
      </c>
    </row>
    <row r="19">
      <c r="A19" s="1">
        <v>9513.0</v>
      </c>
      <c r="B19" s="1" t="s">
        <v>2617</v>
      </c>
      <c r="C19" s="1" t="str">
        <f>IFERROR(__xludf.DUMMYFUNCTION("GOOGLETRANSLATE(B19)"),"National Plan Energy and Climate 2021-2030")</f>
        <v>National Plan Energy and Climate 2021-2030</v>
      </c>
      <c r="D19" s="1" t="s">
        <v>2571</v>
      </c>
      <c r="E19" s="1" t="s">
        <v>2572</v>
      </c>
      <c r="F19" s="1" t="s">
        <v>234</v>
      </c>
      <c r="G19" s="1"/>
      <c r="H19" s="1">
        <v>2019.0</v>
      </c>
      <c r="I19" s="1" t="s">
        <v>700</v>
      </c>
      <c r="J19" s="1" t="s">
        <v>2618</v>
      </c>
      <c r="K19" s="4" t="s">
        <v>2619</v>
      </c>
      <c r="L19" s="1" t="s">
        <v>2566</v>
      </c>
      <c r="N19" s="1" t="s">
        <v>23</v>
      </c>
    </row>
    <row r="20">
      <c r="A20" s="1">
        <v>9513.0</v>
      </c>
      <c r="B20" s="1" t="s">
        <v>2620</v>
      </c>
      <c r="C20" s="1" t="str">
        <f>IFERROR(__xludf.DUMMYFUNCTION("GOOGLETRANSLATE(B20)"),"Resolution of the Council of Ministers No. 53/2020, of July 10: Approves the National Plan Energy and Climate 2030")</f>
        <v>Resolution of the Council of Ministers No. 53/2020, of July 10: Approves the National Plan Energy and Climate 2030</v>
      </c>
      <c r="D20" s="1" t="s">
        <v>2571</v>
      </c>
      <c r="E20" s="1" t="s">
        <v>2572</v>
      </c>
      <c r="F20" s="1" t="s">
        <v>137</v>
      </c>
      <c r="G20" s="1"/>
      <c r="H20" s="1">
        <v>2020.0</v>
      </c>
      <c r="I20" s="1" t="s">
        <v>700</v>
      </c>
      <c r="J20" s="1" t="s">
        <v>2621</v>
      </c>
      <c r="K20" s="4" t="s">
        <v>2622</v>
      </c>
      <c r="L20" s="1" t="s">
        <v>2566</v>
      </c>
      <c r="N20" s="1" t="s">
        <v>92</v>
      </c>
    </row>
    <row r="21">
      <c r="A21" s="1">
        <v>10178.0</v>
      </c>
      <c r="B21" s="1" t="s">
        <v>2623</v>
      </c>
      <c r="C21" s="1" t="str">
        <f>IFERROR(__xludf.DUMMYFUNCTION("GOOGLETRANSLATE(B21)"),"Resolution of the Council of Ministers No. 56/2015, of July 30: Approves the strategic framework for climate policy, the National Program for Climate Change and the National Strategy for Adaptation to Climate Change, determines the reduction values ​​of e"&amp;"missions of greenhouse gases for 2020 and 2030 and creates the Interministerial Commission of Air and Climate Change")</f>
        <v>Resolution of the Council of Ministers No. 56/2015, of July 30: Approves the strategic framework for climate policy, the National Program for Climate Change and the National Strategy for Adaptation to Climate Change, determines the reduction values ​​of emissions of greenhouse gases for 2020 and 2030 and creates the Interministerial Commission of Air and Climate Change</v>
      </c>
      <c r="D21" s="1" t="s">
        <v>2571</v>
      </c>
      <c r="E21" s="1" t="s">
        <v>2572</v>
      </c>
      <c r="F21" s="1" t="s">
        <v>137</v>
      </c>
      <c r="G21" s="1"/>
      <c r="H21" s="1">
        <v>2015.0</v>
      </c>
      <c r="I21" s="1" t="s">
        <v>700</v>
      </c>
      <c r="J21" s="1" t="s">
        <v>2624</v>
      </c>
      <c r="K21" s="4" t="s">
        <v>2625</v>
      </c>
      <c r="L21" s="1" t="s">
        <v>2566</v>
      </c>
      <c r="N21" s="1" t="s">
        <v>92</v>
      </c>
    </row>
    <row r="22">
      <c r="A22" s="1">
        <v>10178.0</v>
      </c>
      <c r="B22" s="1" t="s">
        <v>2626</v>
      </c>
      <c r="C22" s="1" t="str">
        <f>IFERROR(__xludf.DUMMYFUNCTION("GOOGLETRANSLATE(B22)"),"National Strategy for Adaptation to Climate Change")</f>
        <v>National Strategy for Adaptation to Climate Change</v>
      </c>
      <c r="D22" s="1" t="s">
        <v>2571</v>
      </c>
      <c r="E22" s="1" t="s">
        <v>2572</v>
      </c>
      <c r="F22" s="1" t="s">
        <v>144</v>
      </c>
      <c r="G22" s="1"/>
      <c r="H22" s="1">
        <v>2020.0</v>
      </c>
      <c r="I22" s="1" t="s">
        <v>700</v>
      </c>
      <c r="J22" s="1" t="s">
        <v>2627</v>
      </c>
      <c r="K22" s="4" t="s">
        <v>2628</v>
      </c>
      <c r="L22" s="1" t="s">
        <v>2566</v>
      </c>
      <c r="N22" s="1" t="s">
        <v>23</v>
      </c>
    </row>
    <row r="23">
      <c r="A23" s="1">
        <v>10178.0</v>
      </c>
      <c r="B23" s="1" t="s">
        <v>2620</v>
      </c>
      <c r="C23" s="1" t="str">
        <f>IFERROR(__xludf.DUMMYFUNCTION("GOOGLETRANSLATE(B23)"),"Resolution of the Council of Ministers No. 53/2020, of July 10: Approves the National Plan Energy and Climate 2030")</f>
        <v>Resolution of the Council of Ministers No. 53/2020, of July 10: Approves the National Plan Energy and Climate 2030</v>
      </c>
      <c r="D23" s="1" t="s">
        <v>2571</v>
      </c>
      <c r="E23" s="1" t="s">
        <v>2572</v>
      </c>
      <c r="F23" s="1" t="s">
        <v>137</v>
      </c>
      <c r="G23" s="1"/>
      <c r="H23" s="1">
        <v>2020.0</v>
      </c>
      <c r="I23" s="1" t="s">
        <v>700</v>
      </c>
      <c r="J23" s="1" t="s">
        <v>2595</v>
      </c>
      <c r="K23" s="4" t="s">
        <v>2596</v>
      </c>
      <c r="L23" s="1" t="s">
        <v>2566</v>
      </c>
      <c r="N23" s="1" t="s">
        <v>92</v>
      </c>
    </row>
    <row r="24">
      <c r="A24" s="1">
        <v>10508.0</v>
      </c>
      <c r="B24" s="1" t="s">
        <v>2629</v>
      </c>
      <c r="C24" s="1" t="str">
        <f>IFERROR(__xludf.DUMMYFUNCTION("GOOGLETRANSLATE(B24)"),"Decisions on the approval of the assessment of the recovery and resilience plan for Portugal")</f>
        <v>Decisions on the approval of the assessment of the recovery and resilience plan for Portugal</v>
      </c>
      <c r="D24" s="1" t="s">
        <v>2571</v>
      </c>
      <c r="E24" s="1" t="s">
        <v>2572</v>
      </c>
      <c r="F24" s="1" t="s">
        <v>247</v>
      </c>
      <c r="G24" s="1"/>
      <c r="H24" s="1">
        <v>2021.0</v>
      </c>
      <c r="I24" s="1" t="s">
        <v>24</v>
      </c>
      <c r="J24" s="4" t="s">
        <v>2630</v>
      </c>
      <c r="K24" s="4" t="s">
        <v>2631</v>
      </c>
      <c r="L24" s="1" t="s">
        <v>2566</v>
      </c>
      <c r="N24" s="1" t="s">
        <v>92</v>
      </c>
    </row>
    <row r="25">
      <c r="A25" s="1">
        <v>10508.0</v>
      </c>
      <c r="B25" s="1" t="s">
        <v>2632</v>
      </c>
      <c r="C25" s="1" t="str">
        <f>IFERROR(__xludf.DUMMYFUNCTION("GOOGLETRANSLATE(B25)"),"Recover Portugal, building the future")</f>
        <v>Recover Portugal, building the future</v>
      </c>
      <c r="D25" s="1" t="s">
        <v>2571</v>
      </c>
      <c r="E25" s="1" t="s">
        <v>2572</v>
      </c>
      <c r="F25" s="1" t="s">
        <v>234</v>
      </c>
      <c r="G25" s="1"/>
      <c r="H25" s="1">
        <v>2021.0</v>
      </c>
      <c r="I25" s="1" t="s">
        <v>700</v>
      </c>
      <c r="J25" s="1" t="s">
        <v>2633</v>
      </c>
      <c r="K25" s="4" t="s">
        <v>2634</v>
      </c>
      <c r="L25" s="1" t="s">
        <v>2566</v>
      </c>
      <c r="N25" s="1" t="s">
        <v>23</v>
      </c>
    </row>
    <row r="26">
      <c r="A26" s="1">
        <v>10508.0</v>
      </c>
      <c r="B26" s="1" t="s">
        <v>2635</v>
      </c>
      <c r="C26" s="1" t="str">
        <f>IFERROR(__xludf.DUMMYFUNCTION("GOOGLETRANSLATE(B26)"),"Recovery and Resilience Plan")</f>
        <v>Recovery and Resilience Plan</v>
      </c>
      <c r="D26" s="1" t="s">
        <v>2571</v>
      </c>
      <c r="E26" s="1" t="s">
        <v>2572</v>
      </c>
      <c r="F26" s="1" t="s">
        <v>234</v>
      </c>
      <c r="G26" s="1"/>
      <c r="H26" s="1">
        <v>2021.0</v>
      </c>
      <c r="I26" s="1" t="s">
        <v>700</v>
      </c>
      <c r="J26" s="1" t="s">
        <v>2636</v>
      </c>
      <c r="K26" s="4" t="s">
        <v>2637</v>
      </c>
      <c r="L26" s="1" t="s">
        <v>2566</v>
      </c>
      <c r="N26" s="1" t="s">
        <v>326</v>
      </c>
    </row>
    <row r="27">
      <c r="A27" s="1">
        <v>10508.0</v>
      </c>
      <c r="B27" s="1" t="s">
        <v>2638</v>
      </c>
      <c r="C27" s="1" t="str">
        <f>IFERROR(__xludf.DUMMYFUNCTION("GOOGLETRANSLATE(B27)"),"Portugal’s recovery and resilience plan")</f>
        <v>Portugal’s recovery and resilience plan</v>
      </c>
      <c r="D27" s="1" t="s">
        <v>2571</v>
      </c>
      <c r="E27" s="1" t="s">
        <v>2572</v>
      </c>
      <c r="F27" s="1" t="s">
        <v>234</v>
      </c>
      <c r="G27" s="1"/>
      <c r="H27" s="1">
        <v>2021.0</v>
      </c>
      <c r="I27" s="1" t="s">
        <v>24</v>
      </c>
      <c r="J27" s="1" t="s">
        <v>2639</v>
      </c>
      <c r="K27" s="4" t="s">
        <v>2640</v>
      </c>
      <c r="L27" s="1" t="s">
        <v>2566</v>
      </c>
      <c r="N27" s="1" t="s">
        <v>92</v>
      </c>
    </row>
    <row r="28">
      <c r="A28" s="1">
        <v>1577.0</v>
      </c>
      <c r="B28" s="1" t="s">
        <v>2641</v>
      </c>
      <c r="C28" s="1" t="str">
        <f>IFERROR(__xludf.DUMMYFUNCTION("GOOGLETRANSLATE(B28)"),"Law for amending and completing Law no. 121/2014 on energy efficiency")</f>
        <v>Law for amending and completing Law no. 121/2014 on energy efficiency</v>
      </c>
      <c r="D28" s="1" t="s">
        <v>2642</v>
      </c>
      <c r="E28" s="1" t="s">
        <v>2643</v>
      </c>
      <c r="F28" s="1" t="s">
        <v>41</v>
      </c>
      <c r="G28" s="9"/>
      <c r="H28" s="9">
        <v>2014.0</v>
      </c>
      <c r="I28" s="1" t="s">
        <v>2247</v>
      </c>
      <c r="J28" s="1" t="s">
        <v>2644</v>
      </c>
      <c r="K28" s="4" t="s">
        <v>2645</v>
      </c>
      <c r="L28" s="1" t="s">
        <v>2566</v>
      </c>
      <c r="N28" s="1" t="s">
        <v>23</v>
      </c>
    </row>
    <row r="29">
      <c r="A29" s="1">
        <v>1577.0</v>
      </c>
      <c r="B29" s="1" t="s">
        <v>2646</v>
      </c>
      <c r="C29" s="1" t="str">
        <f>IFERROR(__xludf.DUMMYFUNCTION("GOOGLETRANSLATE(B29)"),"Law no. 121/2014 on energy efficiency")</f>
        <v>Law no. 121/2014 on energy efficiency</v>
      </c>
      <c r="D29" s="1" t="s">
        <v>2642</v>
      </c>
      <c r="E29" s="1" t="s">
        <v>2643</v>
      </c>
      <c r="F29" s="1" t="s">
        <v>41</v>
      </c>
      <c r="G29" s="1"/>
      <c r="H29" s="1">
        <v>2014.0</v>
      </c>
      <c r="I29" s="1" t="s">
        <v>2247</v>
      </c>
      <c r="J29" s="1" t="s">
        <v>2647</v>
      </c>
      <c r="K29" s="4" t="s">
        <v>2648</v>
      </c>
      <c r="L29" s="1" t="s">
        <v>2566</v>
      </c>
      <c r="N29" s="1" t="s">
        <v>92</v>
      </c>
    </row>
    <row r="30">
      <c r="A30" s="1">
        <v>1579.0</v>
      </c>
      <c r="B30" s="1" t="s">
        <v>2649</v>
      </c>
      <c r="C30" s="1" t="str">
        <f>IFERROR(__xludf.DUMMYFUNCTION("GOOGLETRANSLATE(B30)"),"Decision no. 529/2013 for the approval of the National Strategy of Romania on climate change, 2013-2020")</f>
        <v>Decision no. 529/2013 for the approval of the National Strategy of Romania on climate change, 2013-2020</v>
      </c>
      <c r="D30" s="1" t="s">
        <v>2642</v>
      </c>
      <c r="E30" s="1" t="s">
        <v>2643</v>
      </c>
      <c r="F30" s="1" t="s">
        <v>272</v>
      </c>
      <c r="G30" s="1"/>
      <c r="H30" s="1">
        <v>2013.0</v>
      </c>
      <c r="I30" s="1" t="s">
        <v>2247</v>
      </c>
      <c r="J30" s="1" t="s">
        <v>2650</v>
      </c>
      <c r="K30" s="4" t="s">
        <v>2651</v>
      </c>
      <c r="L30" s="1" t="s">
        <v>2566</v>
      </c>
      <c r="N30" s="1" t="s">
        <v>23</v>
      </c>
    </row>
    <row r="31">
      <c r="A31" s="1">
        <v>1579.0</v>
      </c>
      <c r="B31" s="1" t="s">
        <v>2652</v>
      </c>
      <c r="C31" s="1" t="str">
        <f>IFERROR(__xludf.DUMMYFUNCTION("GOOGLETRANSLATE(B31)"),"The National Strategy of Romania on climate change 2013 - 2020")</f>
        <v>The National Strategy of Romania on climate change 2013 - 2020</v>
      </c>
      <c r="D31" s="1" t="s">
        <v>2642</v>
      </c>
      <c r="E31" s="1" t="s">
        <v>2643</v>
      </c>
      <c r="F31" s="1" t="s">
        <v>144</v>
      </c>
      <c r="G31" s="1"/>
      <c r="H31" s="1">
        <v>2013.0</v>
      </c>
      <c r="I31" s="1" t="s">
        <v>2247</v>
      </c>
      <c r="J31" s="1" t="s">
        <v>2653</v>
      </c>
      <c r="K31" s="4" t="s">
        <v>2654</v>
      </c>
      <c r="L31" s="1" t="s">
        <v>2566</v>
      </c>
      <c r="N31" s="1" t="s">
        <v>23</v>
      </c>
    </row>
    <row r="32">
      <c r="A32" s="1">
        <v>1582.0</v>
      </c>
      <c r="B32" s="1" t="s">
        <v>2655</v>
      </c>
      <c r="C32" s="1" t="str">
        <f>IFERROR(__xludf.DUMMYFUNCTION("GOOGLETRANSLATE(B32)"),"Law no. 123 of July 10, 2012 of electricity and natural gas")</f>
        <v>Law no. 123 of July 10, 2012 of electricity and natural gas</v>
      </c>
      <c r="D32" s="1" t="s">
        <v>2642</v>
      </c>
      <c r="E32" s="1" t="s">
        <v>2643</v>
      </c>
      <c r="F32" s="1" t="s">
        <v>41</v>
      </c>
      <c r="G32" s="1"/>
      <c r="H32" s="1">
        <v>2012.0</v>
      </c>
      <c r="I32" s="1" t="s">
        <v>2247</v>
      </c>
      <c r="J32" s="1" t="s">
        <v>2656</v>
      </c>
      <c r="K32" s="4" t="s">
        <v>2657</v>
      </c>
      <c r="L32" s="1" t="s">
        <v>2566</v>
      </c>
      <c r="N32" s="1" t="s">
        <v>23</v>
      </c>
    </row>
    <row r="33">
      <c r="A33" s="1">
        <v>1582.0</v>
      </c>
      <c r="B33" s="1" t="s">
        <v>2658</v>
      </c>
      <c r="C33" s="1" t="str">
        <f>IFERROR(__xludf.DUMMYFUNCTION("GOOGLETRANSLATE(B33)"),"Law no. 155 of July 24, 2020 for amending and completing the Law on electricity and natural gas no. 123/2012 and regarding the modification and completion of other normative acts")</f>
        <v>Law no. 155 of July 24, 2020 for amending and completing the Law on electricity and natural gas no. 123/2012 and regarding the modification and completion of other normative acts</v>
      </c>
      <c r="D33" s="1" t="s">
        <v>2642</v>
      </c>
      <c r="E33" s="1" t="s">
        <v>2643</v>
      </c>
      <c r="F33" s="1" t="s">
        <v>41</v>
      </c>
      <c r="G33" s="1"/>
      <c r="H33" s="1">
        <v>2020.0</v>
      </c>
      <c r="I33" s="1" t="s">
        <v>2247</v>
      </c>
      <c r="J33" s="1" t="s">
        <v>2659</v>
      </c>
      <c r="K33" s="4" t="s">
        <v>2660</v>
      </c>
      <c r="L33" s="1" t="s">
        <v>2566</v>
      </c>
      <c r="N33" s="1" t="s">
        <v>92</v>
      </c>
    </row>
    <row r="34">
      <c r="A34" s="1">
        <v>1584.0</v>
      </c>
      <c r="B34" s="1" t="s">
        <v>2661</v>
      </c>
      <c r="C34" s="1" t="str">
        <f>IFERROR(__xludf.DUMMYFUNCTION("GOOGLETRANSLATE(B34)"),"Decision no. 935 of 21/09/2011 regarding the promotion of the use of biocurients and biolichids")</f>
        <v>Decision no. 935 of 21/09/2011 regarding the promotion of the use of biocurients and biolichids</v>
      </c>
      <c r="D34" s="1" t="s">
        <v>2642</v>
      </c>
      <c r="E34" s="1" t="s">
        <v>2643</v>
      </c>
      <c r="F34" s="1" t="s">
        <v>272</v>
      </c>
      <c r="G34" s="1"/>
      <c r="H34" s="1">
        <v>2011.0</v>
      </c>
      <c r="I34" s="1" t="s">
        <v>2247</v>
      </c>
      <c r="J34" s="1" t="s">
        <v>2662</v>
      </c>
      <c r="K34" s="4" t="s">
        <v>2663</v>
      </c>
      <c r="L34" s="1" t="s">
        <v>2566</v>
      </c>
      <c r="N34" s="1" t="s">
        <v>23</v>
      </c>
    </row>
    <row r="35">
      <c r="A35" s="1">
        <v>1584.0</v>
      </c>
      <c r="B35" s="1" t="s">
        <v>2664</v>
      </c>
      <c r="C35" s="1" t="str">
        <f>IFERROR(__xludf.DUMMYFUNCTION("GOOGLETRANSLATE(B35)"),"Decision no. 918 of September 5, 2012 for amending and completing the Government Decision no. 935/2011 regarding the promotion of the use of biofurant and biolichids")</f>
        <v>Decision no. 918 of September 5, 2012 for amending and completing the Government Decision no. 935/2011 regarding the promotion of the use of biofurant and biolichids</v>
      </c>
      <c r="D35" s="1" t="s">
        <v>2642</v>
      </c>
      <c r="E35" s="1" t="s">
        <v>2643</v>
      </c>
      <c r="F35" s="1" t="s">
        <v>272</v>
      </c>
      <c r="G35" s="1"/>
      <c r="H35" s="1">
        <v>2012.0</v>
      </c>
      <c r="I35" s="1" t="s">
        <v>2247</v>
      </c>
      <c r="J35" s="1" t="s">
        <v>2665</v>
      </c>
      <c r="K35" s="4" t="s">
        <v>2666</v>
      </c>
      <c r="L35" s="1" t="s">
        <v>2566</v>
      </c>
      <c r="N35" s="1" t="s">
        <v>23</v>
      </c>
    </row>
    <row r="36">
      <c r="A36" s="1">
        <v>1585.0</v>
      </c>
      <c r="B36" s="1" t="s">
        <v>2667</v>
      </c>
      <c r="C36" s="1" t="str">
        <f>IFERROR(__xludf.DUMMYFUNCTION("GOOGLETRANSLATE(B36)"),"Law no. 220 of October 27, 2008 (republished) for establishing the system of promoting energy from renewable energy sources")</f>
        <v>Law no. 220 of October 27, 2008 (republished) for establishing the system of promoting energy from renewable energy sources</v>
      </c>
      <c r="D36" s="1" t="s">
        <v>2642</v>
      </c>
      <c r="E36" s="1" t="s">
        <v>2643</v>
      </c>
      <c r="F36" s="1" t="s">
        <v>41</v>
      </c>
      <c r="G36" s="1"/>
      <c r="H36" s="1">
        <v>2008.0</v>
      </c>
      <c r="I36" s="1" t="s">
        <v>2247</v>
      </c>
      <c r="J36" s="1" t="s">
        <v>2668</v>
      </c>
      <c r="K36" s="4" t="s">
        <v>2669</v>
      </c>
      <c r="L36" s="1" t="s">
        <v>2566</v>
      </c>
      <c r="N36" s="1" t="s">
        <v>92</v>
      </c>
    </row>
    <row r="37">
      <c r="A37" s="1">
        <v>1585.0</v>
      </c>
      <c r="B37" s="1" t="s">
        <v>2670</v>
      </c>
      <c r="C37" s="1" t="str">
        <f>IFERROR(__xludf.DUMMYFUNCTION("GOOGLETRANSLATE(B37)"),"The law for establishing the system of promoting energy production from renewable energy sources")</f>
        <v>The law for establishing the system of promoting energy production from renewable energy sources</v>
      </c>
      <c r="D37" s="1" t="s">
        <v>2642</v>
      </c>
      <c r="E37" s="1" t="s">
        <v>2643</v>
      </c>
      <c r="F37" s="1" t="s">
        <v>41</v>
      </c>
      <c r="G37" s="1"/>
      <c r="H37" s="1">
        <v>2008.0</v>
      </c>
      <c r="I37" s="1" t="s">
        <v>2247</v>
      </c>
      <c r="J37" s="1" t="s">
        <v>2671</v>
      </c>
      <c r="K37" s="4" t="s">
        <v>2672</v>
      </c>
      <c r="L37" s="1" t="s">
        <v>2566</v>
      </c>
      <c r="N37" s="1" t="s">
        <v>37</v>
      </c>
    </row>
    <row r="38">
      <c r="A38" s="1">
        <v>9514.0</v>
      </c>
      <c r="B38" s="1" t="s">
        <v>2673</v>
      </c>
      <c r="C38" s="1" t="str">
        <f>IFERROR(__xludf.DUMMYFUNCTION("GOOGLETRANSLATE(B38)"),"The 2021-2030 Integrated National Energy and Climate Plan")</f>
        <v>The 2021-2030 Integrated National Energy and Climate Plan</v>
      </c>
      <c r="D38" s="1" t="s">
        <v>2642</v>
      </c>
      <c r="E38" s="1" t="s">
        <v>2643</v>
      </c>
      <c r="F38" s="1" t="s">
        <v>234</v>
      </c>
      <c r="G38" s="1"/>
      <c r="H38" s="1">
        <v>2020.0</v>
      </c>
      <c r="I38" s="1" t="s">
        <v>24</v>
      </c>
      <c r="J38" s="1" t="s">
        <v>2674</v>
      </c>
      <c r="K38" s="4" t="s">
        <v>2675</v>
      </c>
      <c r="L38" s="1" t="s">
        <v>2566</v>
      </c>
      <c r="N38" s="1" t="s">
        <v>23</v>
      </c>
    </row>
    <row r="39">
      <c r="A39" s="1">
        <v>9514.0</v>
      </c>
      <c r="B39" s="1" t="s">
        <v>2676</v>
      </c>
      <c r="C39" s="1" t="str">
        <f>IFERROR(__xludf.DUMMYFUNCTION("GOOGLETRANSLATE(B39)"),"National Plan Integrated in Energy and Climate Change 2021-2030")</f>
        <v>National Plan Integrated in Energy and Climate Change 2021-2030</v>
      </c>
      <c r="D39" s="1" t="s">
        <v>2642</v>
      </c>
      <c r="E39" s="1" t="s">
        <v>2643</v>
      </c>
      <c r="F39" s="1" t="s">
        <v>234</v>
      </c>
      <c r="G39" s="1"/>
      <c r="H39" s="1">
        <v>2020.0</v>
      </c>
      <c r="I39" s="1" t="s">
        <v>2247</v>
      </c>
      <c r="J39" s="1" t="s">
        <v>2677</v>
      </c>
      <c r="K39" s="4" t="s">
        <v>2678</v>
      </c>
      <c r="L39" s="1" t="s">
        <v>2566</v>
      </c>
      <c r="N39" s="1" t="s">
        <v>23</v>
      </c>
    </row>
    <row r="40">
      <c r="A40" s="9">
        <v>10509.0</v>
      </c>
      <c r="B40" s="3"/>
      <c r="C40" s="9" t="str">
        <f>IFERROR(__xludf.DUMMYFUNCTION("GOOGLETRANSLATE(B40)"),"#VALUE!")</f>
        <v>#VALUE!</v>
      </c>
      <c r="D40" s="9" t="s">
        <v>2642</v>
      </c>
      <c r="E40" s="9" t="s">
        <v>2643</v>
      </c>
      <c r="F40" s="3"/>
      <c r="G40" s="3"/>
      <c r="H40" s="3"/>
      <c r="I40" s="3"/>
      <c r="J40" s="9" t="s">
        <v>2679</v>
      </c>
      <c r="K40" s="24" t="s">
        <v>2680</v>
      </c>
      <c r="L40" s="9" t="s">
        <v>2566</v>
      </c>
      <c r="M40" s="3"/>
      <c r="N40" s="9" t="s">
        <v>92</v>
      </c>
    </row>
    <row r="41">
      <c r="A41" s="1">
        <v>10509.0</v>
      </c>
      <c r="B41" s="1" t="s">
        <v>2681</v>
      </c>
      <c r="C41" s="1" t="str">
        <f>IFERROR(__xludf.DUMMYFUNCTION("GOOGLETRANSLATE(B41)"),"Recovery and resilience plan for Romania")</f>
        <v>Recovery and resilience plan for Romania</v>
      </c>
      <c r="D41" s="1" t="s">
        <v>2642</v>
      </c>
      <c r="E41" s="1" t="s">
        <v>2643</v>
      </c>
      <c r="F41" s="1" t="s">
        <v>234</v>
      </c>
      <c r="G41" s="1"/>
      <c r="H41" s="1">
        <v>2021.0</v>
      </c>
      <c r="I41" s="1" t="s">
        <v>2247</v>
      </c>
      <c r="J41" s="1" t="s">
        <v>2682</v>
      </c>
      <c r="K41" s="4" t="s">
        <v>2683</v>
      </c>
      <c r="L41" s="1" t="s">
        <v>2566</v>
      </c>
      <c r="N41" s="1" t="s">
        <v>92</v>
      </c>
    </row>
    <row r="42">
      <c r="A42" s="1">
        <v>1592.0</v>
      </c>
      <c r="B42" s="1" t="s">
        <v>2684</v>
      </c>
      <c r="C42" s="1" t="str">
        <f>IFERROR(__xludf.DUMMYFUNCTION("GOOGLETRANSLATE(B42)"),"Climate doctrine of the Russian Federation")</f>
        <v>Climate doctrine of the Russian Federation</v>
      </c>
      <c r="D42" s="1" t="s">
        <v>2685</v>
      </c>
      <c r="E42" s="1" t="s">
        <v>2686</v>
      </c>
      <c r="F42" s="9" t="s">
        <v>407</v>
      </c>
      <c r="G42" s="1" t="s">
        <v>407</v>
      </c>
      <c r="H42" s="1">
        <v>2009.0</v>
      </c>
      <c r="I42" s="1" t="s">
        <v>347</v>
      </c>
      <c r="J42" s="1" t="s">
        <v>2687</v>
      </c>
      <c r="K42" s="4" t="s">
        <v>2688</v>
      </c>
      <c r="L42" s="1" t="s">
        <v>2566</v>
      </c>
      <c r="N42" s="1" t="s">
        <v>23</v>
      </c>
    </row>
    <row r="43">
      <c r="A43" s="1">
        <v>1592.0</v>
      </c>
      <c r="B43" s="1" t="s">
        <v>2689</v>
      </c>
      <c r="C43" s="1" t="str">
        <f>IFERROR(__xludf.DUMMYFUNCTION("GOOGLETRANSLATE(B43)"),"Climate Doctrine of the Russian Federation - unofficial translation")</f>
        <v>Climate Doctrine of the Russian Federation - unofficial translation</v>
      </c>
      <c r="D43" s="1" t="s">
        <v>2685</v>
      </c>
      <c r="E43" s="1" t="s">
        <v>2686</v>
      </c>
      <c r="F43" s="9" t="s">
        <v>407</v>
      </c>
      <c r="G43" s="1" t="s">
        <v>407</v>
      </c>
      <c r="H43" s="1">
        <v>2009.0</v>
      </c>
      <c r="I43" s="1" t="s">
        <v>24</v>
      </c>
      <c r="J43" s="1" t="s">
        <v>2690</v>
      </c>
      <c r="K43" s="4" t="s">
        <v>2691</v>
      </c>
      <c r="L43" s="1" t="s">
        <v>2566</v>
      </c>
      <c r="N43" s="1" t="s">
        <v>23</v>
      </c>
    </row>
    <row r="44">
      <c r="A44" s="1">
        <v>1594.0</v>
      </c>
      <c r="B44" s="1" t="s">
        <v>2692</v>
      </c>
      <c r="C44" s="1" t="str">
        <f>IFERROR(__xludf.DUMMYFUNCTION("GOOGLETRANSLATE(B44)"),"Russian energy strategy")</f>
        <v>Russian energy strategy</v>
      </c>
      <c r="D44" s="1" t="s">
        <v>2685</v>
      </c>
      <c r="E44" s="1" t="s">
        <v>2686</v>
      </c>
      <c r="F44" s="1" t="s">
        <v>144</v>
      </c>
      <c r="G44" s="3"/>
      <c r="H44" s="3"/>
      <c r="I44" s="1" t="s">
        <v>347</v>
      </c>
      <c r="J44" s="1" t="s">
        <v>2693</v>
      </c>
      <c r="K44" s="4" t="s">
        <v>2694</v>
      </c>
      <c r="L44" s="1" t="s">
        <v>2566</v>
      </c>
      <c r="N44" s="1" t="s">
        <v>23</v>
      </c>
    </row>
    <row r="45">
      <c r="A45" s="1">
        <v>1594.0</v>
      </c>
      <c r="B45" s="1" t="s">
        <v>2695</v>
      </c>
      <c r="C45" s="1" t="str">
        <f>IFERROR(__xludf.DUMMYFUNCTION("GOOGLETRANSLATE(B45)"),"ENERGY STRATEGY of RUSSIA for the period up to 2030")</f>
        <v>ENERGY STRATEGY of RUSSIA for the period up to 2030</v>
      </c>
      <c r="D45" s="1" t="s">
        <v>2685</v>
      </c>
      <c r="E45" s="1" t="s">
        <v>2686</v>
      </c>
      <c r="F45" s="1" t="s">
        <v>144</v>
      </c>
      <c r="G45" s="1"/>
      <c r="H45" s="1">
        <v>2010.0</v>
      </c>
      <c r="I45" s="1" t="s">
        <v>347</v>
      </c>
      <c r="J45" s="1" t="s">
        <v>2696</v>
      </c>
      <c r="K45" s="4" t="s">
        <v>2697</v>
      </c>
      <c r="L45" s="1" t="s">
        <v>2566</v>
      </c>
      <c r="N45" s="1" t="s">
        <v>23</v>
      </c>
    </row>
    <row r="46">
      <c r="A46" s="1">
        <v>1594.0</v>
      </c>
      <c r="B46" s="1" t="s">
        <v>2698</v>
      </c>
      <c r="C46" s="1" t="str">
        <f>IFERROR(__xludf.DUMMYFUNCTION("GOOGLETRANSLATE(B46)"),"Energy strategy of the Russian Federation for the period until 2035")</f>
        <v>Energy strategy of the Russian Federation for the period until 2035</v>
      </c>
      <c r="D46" s="1" t="s">
        <v>2685</v>
      </c>
      <c r="E46" s="1" t="s">
        <v>2686</v>
      </c>
      <c r="F46" s="1" t="s">
        <v>144</v>
      </c>
      <c r="G46" s="1"/>
      <c r="H46" s="1">
        <v>2020.0</v>
      </c>
      <c r="I46" s="1" t="s">
        <v>347</v>
      </c>
      <c r="J46" s="1" t="s">
        <v>2699</v>
      </c>
      <c r="K46" s="4" t="s">
        <v>2700</v>
      </c>
      <c r="L46" s="1" t="s">
        <v>2566</v>
      </c>
      <c r="N46" s="1" t="s">
        <v>23</v>
      </c>
    </row>
    <row r="47">
      <c r="A47" s="1">
        <v>10140.0</v>
      </c>
      <c r="B47" s="1" t="s">
        <v>2701</v>
      </c>
      <c r="C47" s="1" t="s">
        <v>2702</v>
      </c>
      <c r="D47" s="1" t="s">
        <v>2685</v>
      </c>
      <c r="E47" s="1" t="s">
        <v>2686</v>
      </c>
      <c r="F47" s="1" t="s">
        <v>368</v>
      </c>
      <c r="G47" s="1"/>
      <c r="H47" s="1">
        <v>2020.0</v>
      </c>
      <c r="I47" s="1" t="s">
        <v>347</v>
      </c>
      <c r="J47" s="1" t="s">
        <v>2703</v>
      </c>
      <c r="K47" s="4" t="s">
        <v>2704</v>
      </c>
      <c r="L47" s="1" t="s">
        <v>2566</v>
      </c>
      <c r="N47" s="1" t="s">
        <v>92</v>
      </c>
    </row>
    <row r="48">
      <c r="A48" s="1">
        <v>10140.0</v>
      </c>
      <c r="B48" s="1" t="s">
        <v>2701</v>
      </c>
      <c r="C48" s="1" t="s">
        <v>2702</v>
      </c>
      <c r="D48" s="1" t="s">
        <v>2685</v>
      </c>
      <c r="E48" s="1" t="s">
        <v>2686</v>
      </c>
      <c r="F48" s="1" t="s">
        <v>368</v>
      </c>
      <c r="G48" s="1"/>
      <c r="H48" s="1">
        <v>2020.0</v>
      </c>
      <c r="I48" s="1" t="s">
        <v>347</v>
      </c>
      <c r="J48" s="1" t="s">
        <v>2705</v>
      </c>
      <c r="K48" s="4" t="s">
        <v>2706</v>
      </c>
      <c r="L48" s="1" t="s">
        <v>2566</v>
      </c>
      <c r="N48" s="1" t="s">
        <v>37</v>
      </c>
    </row>
    <row r="49">
      <c r="A49" s="1">
        <v>8518.0</v>
      </c>
      <c r="B49" s="1" t="s">
        <v>2707</v>
      </c>
      <c r="C49" s="1" t="str">
        <f>IFERROR(__xludf.DUMMYFUNCTION("GOOGLETRANSLATE(B49)"),"National Energy Policy")</f>
        <v>National Energy Policy</v>
      </c>
      <c r="D49" s="1" t="s">
        <v>2708</v>
      </c>
      <c r="E49" s="1" t="s">
        <v>2709</v>
      </c>
      <c r="F49" s="1" t="s">
        <v>407</v>
      </c>
      <c r="G49" s="1"/>
      <c r="H49" s="1">
        <v>2009.0</v>
      </c>
      <c r="I49" s="1" t="s">
        <v>24</v>
      </c>
      <c r="J49" s="1" t="s">
        <v>2710</v>
      </c>
      <c r="K49" s="4" t="s">
        <v>2711</v>
      </c>
      <c r="L49" s="1" t="s">
        <v>2566</v>
      </c>
      <c r="N49" s="1" t="s">
        <v>23</v>
      </c>
    </row>
    <row r="50">
      <c r="A50" s="1">
        <v>8518.0</v>
      </c>
      <c r="B50" s="1" t="s">
        <v>2712</v>
      </c>
      <c r="C50" s="1" t="str">
        <f>IFERROR(__xludf.DUMMYFUNCTION("GOOGLETRANSLATE(B50)"),"Energy Action Plan")</f>
        <v>Energy Action Plan</v>
      </c>
      <c r="D50" s="1" t="s">
        <v>2708</v>
      </c>
      <c r="E50" s="1" t="s">
        <v>2709</v>
      </c>
      <c r="F50" s="1" t="s">
        <v>368</v>
      </c>
      <c r="G50" s="1"/>
      <c r="H50" s="1">
        <v>2010.0</v>
      </c>
      <c r="I50" s="1" t="s">
        <v>24</v>
      </c>
      <c r="J50" s="1" t="s">
        <v>2713</v>
      </c>
      <c r="K50" s="4" t="s">
        <v>2714</v>
      </c>
      <c r="L50" s="1" t="s">
        <v>2566</v>
      </c>
      <c r="N50" s="1" t="s">
        <v>23</v>
      </c>
    </row>
    <row r="51">
      <c r="A51" s="1">
        <v>4835.0</v>
      </c>
      <c r="B51" s="1" t="s">
        <v>2715</v>
      </c>
      <c r="C51" s="1" t="str">
        <f>IFERROR(__xludf.DUMMYFUNCTION("GOOGLETRANSLATE(B51)"),"Samoa Energy Sector Plan 2012-2016")</f>
        <v>Samoa Energy Sector Plan 2012-2016</v>
      </c>
      <c r="D51" s="1" t="s">
        <v>2716</v>
      </c>
      <c r="E51" s="1" t="s">
        <v>2717</v>
      </c>
      <c r="F51" s="1" t="s">
        <v>234</v>
      </c>
      <c r="G51" s="9"/>
      <c r="H51" s="9">
        <v>2012.0</v>
      </c>
      <c r="I51" s="1" t="s">
        <v>24</v>
      </c>
      <c r="J51" s="1" t="s">
        <v>2718</v>
      </c>
      <c r="K51" s="4" t="s">
        <v>2719</v>
      </c>
      <c r="L51" s="1" t="s">
        <v>2566</v>
      </c>
      <c r="N51" s="1" t="s">
        <v>37</v>
      </c>
    </row>
    <row r="52">
      <c r="A52" s="1">
        <v>4835.0</v>
      </c>
      <c r="B52" s="1" t="s">
        <v>2720</v>
      </c>
      <c r="C52" s="1" t="str">
        <f>IFERROR(__xludf.DUMMYFUNCTION("GOOGLETRANSLATE(B52)"),"Samoa Energy Sector Plan 2017-2022")</f>
        <v>Samoa Energy Sector Plan 2017-2022</v>
      </c>
      <c r="D52" s="1" t="s">
        <v>2716</v>
      </c>
      <c r="E52" s="1" t="s">
        <v>2717</v>
      </c>
      <c r="F52" s="1" t="s">
        <v>234</v>
      </c>
      <c r="G52" s="9"/>
      <c r="H52" s="9">
        <v>2017.0</v>
      </c>
      <c r="I52" s="1" t="s">
        <v>24</v>
      </c>
      <c r="J52" s="1" t="s">
        <v>2721</v>
      </c>
      <c r="K52" s="4" t="s">
        <v>2722</v>
      </c>
      <c r="L52" s="1" t="s">
        <v>2566</v>
      </c>
      <c r="N52" s="1" t="s">
        <v>37</v>
      </c>
    </row>
    <row r="53">
      <c r="A53" s="1">
        <v>10276.0</v>
      </c>
      <c r="B53" s="1" t="s">
        <v>2723</v>
      </c>
      <c r="C53" s="1" t="str">
        <f>IFERROR(__xludf.DUMMYFUNCTION("GOOGLETRANSLATE(B53)"),"National Policy on Gender Equality and Rights of Women and Girls 2021-2031")</f>
        <v>National Policy on Gender Equality and Rights of Women and Girls 2021-2031</v>
      </c>
      <c r="D53" s="1" t="s">
        <v>2716</v>
      </c>
      <c r="E53" s="1" t="s">
        <v>2717</v>
      </c>
      <c r="F53" s="1" t="s">
        <v>407</v>
      </c>
      <c r="G53" s="9"/>
      <c r="H53" s="9">
        <v>2020.0</v>
      </c>
      <c r="I53" s="1" t="s">
        <v>24</v>
      </c>
      <c r="J53" s="1" t="s">
        <v>2724</v>
      </c>
      <c r="K53" s="4" t="s">
        <v>2725</v>
      </c>
      <c r="L53" s="1" t="s">
        <v>2566</v>
      </c>
      <c r="N53" s="1" t="s">
        <v>92</v>
      </c>
    </row>
    <row r="54">
      <c r="A54" s="1">
        <v>10276.0</v>
      </c>
      <c r="B54" s="1" t="s">
        <v>2726</v>
      </c>
      <c r="C54" s="1" t="str">
        <f>IFERROR(__xludf.DUMMYFUNCTION("GOOGLETRANSLATE(B54)"),"Samoa National Policy for Gender Equality 2016-2020")</f>
        <v>Samoa National Policy for Gender Equality 2016-2020</v>
      </c>
      <c r="D54" s="1" t="s">
        <v>2716</v>
      </c>
      <c r="E54" s="1" t="s">
        <v>2717</v>
      </c>
      <c r="F54" s="1" t="s">
        <v>407</v>
      </c>
      <c r="G54" s="1"/>
      <c r="H54" s="1">
        <v>2016.0</v>
      </c>
      <c r="I54" s="1" t="s">
        <v>24</v>
      </c>
      <c r="J54" s="1" t="s">
        <v>2727</v>
      </c>
      <c r="K54" s="4" t="s">
        <v>2728</v>
      </c>
      <c r="L54" s="1" t="s">
        <v>2566</v>
      </c>
      <c r="N54" s="1" t="s">
        <v>37</v>
      </c>
    </row>
    <row r="55">
      <c r="A55" s="1">
        <v>8553.0</v>
      </c>
      <c r="B55" s="1" t="s">
        <v>2729</v>
      </c>
      <c r="C55" s="1" t="str">
        <f>IFERROR(__xludf.DUMMYFUNCTION("GOOGLETRANSLATE(B55)"),"Delegated Decree: transfer of electricity produced by renewable and assimilable energy plants to the network of electricity")</f>
        <v>Delegated Decree: transfer of electricity produced by renewable and assimilable energy plants to the network of electricity</v>
      </c>
      <c r="D55" s="1" t="s">
        <v>2730</v>
      </c>
      <c r="E55" s="1" t="s">
        <v>2731</v>
      </c>
      <c r="F55" s="1" t="s">
        <v>18</v>
      </c>
      <c r="G55" s="1"/>
      <c r="H55" s="1">
        <v>2009.0</v>
      </c>
      <c r="I55" s="1" t="s">
        <v>153</v>
      </c>
      <c r="J55" s="1" t="s">
        <v>2732</v>
      </c>
      <c r="K55" s="4" t="s">
        <v>2733</v>
      </c>
      <c r="L55" s="1" t="s">
        <v>2566</v>
      </c>
      <c r="N55" s="1" t="s">
        <v>23</v>
      </c>
    </row>
    <row r="56">
      <c r="A56" s="1">
        <v>8553.0</v>
      </c>
      <c r="B56" s="1" t="s">
        <v>2734</v>
      </c>
      <c r="C56" s="1" t="str">
        <f>IFERROR(__xludf.DUMMYFUNCTION("GOOGLETRANSLATE(B56)"),"Reform of the law 7 May 2008 N. 72- Promotion and incentive of the energy efficiency of buildings and use of renewable energy in the civil and industrial fields")</f>
        <v>Reform of the law 7 May 2008 N. 72- Promotion and incentive of the energy efficiency of buildings and use of renewable energy in the civil and industrial fields</v>
      </c>
      <c r="D56" s="1" t="s">
        <v>2730</v>
      </c>
      <c r="E56" s="1" t="s">
        <v>2731</v>
      </c>
      <c r="F56" s="1" t="s">
        <v>41</v>
      </c>
      <c r="G56" s="1"/>
      <c r="H56" s="1">
        <v>2014.0</v>
      </c>
      <c r="I56" s="1" t="s">
        <v>153</v>
      </c>
      <c r="J56" s="1" t="s">
        <v>2735</v>
      </c>
      <c r="K56" s="4" t="s">
        <v>2736</v>
      </c>
      <c r="L56" s="1" t="s">
        <v>2566</v>
      </c>
      <c r="N56" s="1" t="s">
        <v>23</v>
      </c>
    </row>
    <row r="57">
      <c r="A57" s="1">
        <v>8553.0</v>
      </c>
      <c r="B57" s="1" t="s">
        <v>2737</v>
      </c>
      <c r="C57" s="1" t="str">
        <f>IFERROR(__xludf.DUMMYFUNCTION("GOOGLETRANSLATE(B57)"),"Changes to the Delegate Decree 26 January 2015 n.5 - Incentives for the performance of energy and plant redevelopment interventions of existing buildings and for the installation of systems for the production of energy from renewable sources or cogenerati"&amp;"on")</f>
        <v>Changes to the Delegate Decree 26 January 2015 n.5 - Incentives for the performance of energy and plant redevelopment interventions of existing buildings and for the installation of systems for the production of energy from renewable sources or cogeneration</v>
      </c>
      <c r="D57" s="1" t="s">
        <v>2730</v>
      </c>
      <c r="E57" s="1" t="s">
        <v>2731</v>
      </c>
      <c r="F57" s="1" t="s">
        <v>18</v>
      </c>
      <c r="G57" s="1"/>
      <c r="H57" s="1">
        <v>2017.0</v>
      </c>
      <c r="I57" s="1" t="s">
        <v>153</v>
      </c>
      <c r="J57" s="1" t="s">
        <v>2738</v>
      </c>
      <c r="K57" s="4" t="s">
        <v>2739</v>
      </c>
      <c r="L57" s="1" t="s">
        <v>2566</v>
      </c>
      <c r="N57" s="1" t="s">
        <v>23</v>
      </c>
    </row>
    <row r="58">
      <c r="A58" s="1">
        <v>8553.0</v>
      </c>
      <c r="B58" s="1" t="s">
        <v>2740</v>
      </c>
      <c r="C58" s="1" t="str">
        <f>IFERROR(__xludf.DUMMYFUNCTION("GOOGLETRANSLATE(B58)"),"Promotion and incentive of the energy efficiency of buildings and use of renewable energy in the civil and industrial fields")</f>
        <v>Promotion and incentive of the energy efficiency of buildings and use of renewable energy in the civil and industrial fields</v>
      </c>
      <c r="D58" s="1" t="s">
        <v>2730</v>
      </c>
      <c r="E58" s="1" t="s">
        <v>2731</v>
      </c>
      <c r="F58" s="1" t="s">
        <v>41</v>
      </c>
      <c r="G58" s="1"/>
      <c r="H58" s="1">
        <v>2008.0</v>
      </c>
      <c r="I58" s="1" t="s">
        <v>153</v>
      </c>
      <c r="J58" s="1" t="s">
        <v>2741</v>
      </c>
      <c r="K58" s="4" t="s">
        <v>2742</v>
      </c>
      <c r="L58" s="1" t="s">
        <v>2566</v>
      </c>
      <c r="N58" s="1" t="s">
        <v>23</v>
      </c>
    </row>
    <row r="59">
      <c r="A59" s="1">
        <v>8555.0</v>
      </c>
      <c r="B59" s="1" t="s">
        <v>2743</v>
      </c>
      <c r="C59" s="1" t="str">
        <f>IFERROR(__xludf.DUMMYFUNCTION("GOOGLETRANSLATE(B59)"),"Environmental code")</f>
        <v>Environmental code</v>
      </c>
      <c r="D59" s="1" t="s">
        <v>2730</v>
      </c>
      <c r="E59" s="1" t="s">
        <v>2731</v>
      </c>
      <c r="F59" s="1" t="s">
        <v>18</v>
      </c>
      <c r="G59" s="1"/>
      <c r="H59" s="1">
        <v>2012.0</v>
      </c>
      <c r="I59" s="1" t="s">
        <v>153</v>
      </c>
      <c r="J59" s="1" t="s">
        <v>2744</v>
      </c>
      <c r="K59" s="4" t="s">
        <v>2745</v>
      </c>
      <c r="L59" s="1" t="s">
        <v>2566</v>
      </c>
      <c r="N59" s="1" t="s">
        <v>37</v>
      </c>
    </row>
    <row r="60">
      <c r="A60" s="1">
        <v>8555.0</v>
      </c>
      <c r="B60" s="1" t="s">
        <v>2743</v>
      </c>
      <c r="C60" s="1" t="str">
        <f>IFERROR(__xludf.DUMMYFUNCTION("GOOGLETRANSLATE(B60)"),"Environmental code")</f>
        <v>Environmental code</v>
      </c>
      <c r="D60" s="1" t="s">
        <v>2730</v>
      </c>
      <c r="E60" s="1" t="s">
        <v>2731</v>
      </c>
      <c r="F60" s="1" t="s">
        <v>18</v>
      </c>
      <c r="G60" s="1"/>
      <c r="H60" s="1">
        <v>2012.0</v>
      </c>
      <c r="I60" s="1" t="s">
        <v>153</v>
      </c>
      <c r="J60" s="1" t="s">
        <v>2744</v>
      </c>
      <c r="K60" s="4" t="s">
        <v>2745</v>
      </c>
      <c r="L60" s="1" t="s">
        <v>2566</v>
      </c>
      <c r="N60" s="1" t="s">
        <v>23</v>
      </c>
    </row>
    <row r="61">
      <c r="A61" s="1">
        <v>2071.0</v>
      </c>
      <c r="B61" s="1" t="s">
        <v>2746</v>
      </c>
      <c r="C61" s="1" t="str">
        <f>IFERROR(__xludf.DUMMYFUNCTION("GOOGLETRANSLATE(B61)"),"Vision 2030")</f>
        <v>Vision 2030</v>
      </c>
      <c r="D61" s="1" t="s">
        <v>2747</v>
      </c>
      <c r="E61" s="1" t="s">
        <v>2748</v>
      </c>
      <c r="F61" s="1" t="s">
        <v>253</v>
      </c>
      <c r="G61" s="3"/>
      <c r="H61" s="3"/>
      <c r="I61" s="1" t="s">
        <v>24</v>
      </c>
      <c r="J61" s="1" t="s">
        <v>2749</v>
      </c>
      <c r="K61" s="4" t="s">
        <v>2750</v>
      </c>
      <c r="L61" s="1" t="s">
        <v>2566</v>
      </c>
      <c r="N61" s="1" t="s">
        <v>37</v>
      </c>
    </row>
    <row r="62">
      <c r="A62" s="1">
        <v>2071.0</v>
      </c>
      <c r="B62" s="1" t="s">
        <v>2751</v>
      </c>
      <c r="C62" s="1" t="str">
        <f>IFERROR(__xludf.DUMMYFUNCTION("GOOGLETRANSLATE(B62)"),"National Transformation Program Delivery Plan 2021 - 2025")</f>
        <v>National Transformation Program Delivery Plan 2021 - 2025</v>
      </c>
      <c r="D62" s="1" t="s">
        <v>2747</v>
      </c>
      <c r="E62" s="1" t="s">
        <v>2748</v>
      </c>
      <c r="F62" s="1" t="s">
        <v>253</v>
      </c>
      <c r="G62" s="3"/>
      <c r="H62" s="3"/>
      <c r="I62" s="1" t="s">
        <v>24</v>
      </c>
      <c r="J62" s="1" t="s">
        <v>2752</v>
      </c>
      <c r="K62" s="4" t="s">
        <v>2753</v>
      </c>
      <c r="L62" s="1" t="s">
        <v>2566</v>
      </c>
      <c r="N62" s="1" t="s">
        <v>23</v>
      </c>
    </row>
    <row r="63">
      <c r="A63" s="1">
        <v>10348.0</v>
      </c>
      <c r="B63" s="10" t="s">
        <v>2754</v>
      </c>
      <c r="C63" s="1" t="s">
        <v>2755</v>
      </c>
      <c r="D63" s="1" t="s">
        <v>2747</v>
      </c>
      <c r="E63" s="1" t="s">
        <v>2748</v>
      </c>
      <c r="F63" s="1" t="s">
        <v>144</v>
      </c>
      <c r="G63" s="3"/>
      <c r="H63" s="3"/>
      <c r="I63" s="1" t="s">
        <v>335</v>
      </c>
      <c r="J63" s="1" t="s">
        <v>2756</v>
      </c>
      <c r="K63" s="4" t="s">
        <v>2757</v>
      </c>
      <c r="L63" s="1" t="s">
        <v>2566</v>
      </c>
      <c r="N63" s="1" t="s">
        <v>37</v>
      </c>
    </row>
    <row r="64">
      <c r="A64" s="9">
        <v>10348.0</v>
      </c>
      <c r="B64" s="3"/>
      <c r="C64" s="9" t="str">
        <f>IFERROR(__xludf.DUMMYFUNCTION("GOOGLETRANSLATE(B64)"),"#VALUE!")</f>
        <v>#VALUE!</v>
      </c>
      <c r="D64" s="9" t="s">
        <v>2747</v>
      </c>
      <c r="E64" s="9" t="s">
        <v>2748</v>
      </c>
      <c r="F64" s="3"/>
      <c r="G64" s="3"/>
      <c r="H64" s="3"/>
      <c r="I64" s="3"/>
      <c r="J64" s="9" t="s">
        <v>2758</v>
      </c>
      <c r="K64" s="24" t="s">
        <v>2759</v>
      </c>
      <c r="L64" s="9" t="s">
        <v>2566</v>
      </c>
      <c r="M64" s="3"/>
      <c r="N64" s="9" t="s">
        <v>37</v>
      </c>
      <c r="O64" s="3"/>
      <c r="P64" s="3"/>
      <c r="Q64" s="3"/>
      <c r="R64" s="3"/>
      <c r="S64" s="3"/>
      <c r="T64" s="3"/>
      <c r="U64" s="3"/>
      <c r="V64" s="3"/>
      <c r="W64" s="3"/>
      <c r="X64" s="3"/>
      <c r="Y64" s="3"/>
      <c r="Z64" s="3"/>
      <c r="AA64" s="3"/>
      <c r="AB64" s="3"/>
    </row>
    <row r="65">
      <c r="A65" s="1">
        <v>1608.0</v>
      </c>
      <c r="B65" s="1" t="s">
        <v>2760</v>
      </c>
      <c r="C65" s="1" t="str">
        <f>IFERROR(__xludf.DUMMYFUNCTION("GOOGLETRANSLATE(B65)"),"Decree No. 2014-880 relating to the powers of the Minister of the Environment and Sustainable Development")</f>
        <v>Decree No. 2014-880 relating to the powers of the Minister of the Environment and Sustainable Development</v>
      </c>
      <c r="D65" s="1" t="s">
        <v>2761</v>
      </c>
      <c r="E65" s="1" t="s">
        <v>2762</v>
      </c>
      <c r="F65" s="1" t="s">
        <v>18</v>
      </c>
      <c r="G65" s="1"/>
      <c r="H65" s="1">
        <v>2014.0</v>
      </c>
      <c r="I65" s="1" t="s">
        <v>811</v>
      </c>
      <c r="J65" s="1" t="s">
        <v>2763</v>
      </c>
      <c r="K65" s="4" t="s">
        <v>2764</v>
      </c>
      <c r="L65" s="1" t="s">
        <v>2566</v>
      </c>
      <c r="N65" s="1" t="s">
        <v>37</v>
      </c>
    </row>
    <row r="66">
      <c r="A66" s="9">
        <v>1608.0</v>
      </c>
      <c r="B66" s="3"/>
      <c r="C66" s="9" t="str">
        <f>IFERROR(__xludf.DUMMYFUNCTION("GOOGLETRANSLATE(B66)"),"#VALUE!")</f>
        <v>#VALUE!</v>
      </c>
      <c r="D66" s="9" t="s">
        <v>2761</v>
      </c>
      <c r="E66" s="9" t="s">
        <v>2762</v>
      </c>
      <c r="F66" s="3"/>
      <c r="G66" s="3"/>
      <c r="H66" s="3"/>
      <c r="I66" s="3"/>
      <c r="J66" s="9" t="s">
        <v>2765</v>
      </c>
      <c r="K66" s="24" t="s">
        <v>2766</v>
      </c>
      <c r="L66" s="9" t="s">
        <v>2566</v>
      </c>
      <c r="M66" s="3"/>
      <c r="N66" s="9" t="s">
        <v>326</v>
      </c>
      <c r="O66" s="3"/>
      <c r="P66" s="3"/>
      <c r="Q66" s="3"/>
      <c r="R66" s="3"/>
      <c r="S66" s="3"/>
      <c r="T66" s="3"/>
      <c r="U66" s="3"/>
      <c r="V66" s="3"/>
      <c r="W66" s="3"/>
      <c r="X66" s="3"/>
      <c r="Y66" s="3"/>
      <c r="Z66" s="3"/>
      <c r="AA66" s="3"/>
      <c r="AB66" s="3"/>
    </row>
    <row r="67">
      <c r="A67" s="1">
        <v>4460.0</v>
      </c>
      <c r="B67" s="1" t="s">
        <v>2767</v>
      </c>
      <c r="C67" s="1" t="str">
        <f>IFERROR(__xludf.DUMMYFUNCTION("GOOGLETRANSLATE(B67)"),"Forest law")</f>
        <v>Forest law</v>
      </c>
      <c r="D67" s="1" t="s">
        <v>2768</v>
      </c>
      <c r="E67" s="1" t="s">
        <v>2769</v>
      </c>
      <c r="F67" s="1" t="s">
        <v>41</v>
      </c>
      <c r="G67" s="3"/>
      <c r="H67" s="3"/>
      <c r="I67" s="1" t="s">
        <v>2770</v>
      </c>
      <c r="J67" s="1" t="s">
        <v>2771</v>
      </c>
      <c r="K67" s="4" t="s">
        <v>2772</v>
      </c>
      <c r="L67" s="1" t="s">
        <v>2566</v>
      </c>
      <c r="N67" s="1" t="s">
        <v>23</v>
      </c>
    </row>
    <row r="68">
      <c r="A68" s="1">
        <v>4460.0</v>
      </c>
      <c r="B68" s="1" t="s">
        <v>2773</v>
      </c>
      <c r="C68" s="1" t="str">
        <f>IFERROR(__xludf.DUMMYFUNCTION("GOOGLETRANSLATE(B68)"),"Forest law")</f>
        <v>Forest law</v>
      </c>
      <c r="D68" s="1" t="s">
        <v>2768</v>
      </c>
      <c r="E68" s="1" t="s">
        <v>2769</v>
      </c>
      <c r="F68" s="1" t="s">
        <v>41</v>
      </c>
      <c r="G68" s="3"/>
      <c r="H68" s="3"/>
      <c r="I68" s="1" t="s">
        <v>24</v>
      </c>
      <c r="J68" s="1" t="s">
        <v>2774</v>
      </c>
      <c r="K68" s="4" t="s">
        <v>2775</v>
      </c>
      <c r="L68" s="1" t="s">
        <v>2566</v>
      </c>
      <c r="N68" s="1" t="s">
        <v>23</v>
      </c>
    </row>
    <row r="69">
      <c r="A69" s="1">
        <v>10286.0</v>
      </c>
      <c r="B69" s="1" t="s">
        <v>2776</v>
      </c>
      <c r="C69" s="1" t="str">
        <f>IFERROR(__xludf.DUMMYFUNCTION("GOOGLETRANSLATE(B69)"),"Biodiversity: Strategic Action Plan")</f>
        <v>Biodiversity: Strategic Action Plan</v>
      </c>
      <c r="D69" s="1" t="s">
        <v>2777</v>
      </c>
      <c r="E69" s="1" t="s">
        <v>2778</v>
      </c>
      <c r="F69" s="1" t="s">
        <v>368</v>
      </c>
      <c r="G69" s="1"/>
      <c r="H69" s="1">
        <v>2003.0</v>
      </c>
      <c r="I69" s="1" t="s">
        <v>24</v>
      </c>
      <c r="J69" s="1" t="s">
        <v>2779</v>
      </c>
      <c r="K69" s="4" t="s">
        <v>2780</v>
      </c>
      <c r="L69" s="1" t="s">
        <v>2566</v>
      </c>
      <c r="N69" s="1" t="s">
        <v>23</v>
      </c>
    </row>
    <row r="70">
      <c r="A70" s="1">
        <v>10286.0</v>
      </c>
      <c r="B70" s="1" t="s">
        <v>2781</v>
      </c>
      <c r="C70" s="1" t="str">
        <f>IFERROR(__xludf.DUMMYFUNCTION("GOOGLETRANSLATE(B70)"),"Sierra Leone’s Second National Biodiversity Strategy and Action Plan 2017-2026")</f>
        <v>Sierra Leone’s Second National Biodiversity Strategy and Action Plan 2017-2026</v>
      </c>
      <c r="D70" s="1" t="s">
        <v>2777</v>
      </c>
      <c r="E70" s="1" t="s">
        <v>2778</v>
      </c>
      <c r="F70" s="1" t="s">
        <v>368</v>
      </c>
      <c r="G70" s="1"/>
      <c r="H70" s="1">
        <v>2017.0</v>
      </c>
      <c r="I70" s="1" t="s">
        <v>24</v>
      </c>
      <c r="J70" s="1" t="s">
        <v>2782</v>
      </c>
      <c r="K70" s="4" t="s">
        <v>2783</v>
      </c>
      <c r="L70" s="1" t="s">
        <v>2566</v>
      </c>
      <c r="N70" s="1" t="s">
        <v>23</v>
      </c>
    </row>
    <row r="71">
      <c r="A71" s="1">
        <v>8587.0</v>
      </c>
      <c r="B71" s="1" t="s">
        <v>2784</v>
      </c>
      <c r="C71" s="1" t="str">
        <f>IFERROR(__xludf.DUMMYFUNCTION("GOOGLETRANSLATE(B71)"),"Budget 2018")</f>
        <v>Budget 2018</v>
      </c>
      <c r="D71" s="1" t="s">
        <v>2785</v>
      </c>
      <c r="E71" s="1" t="s">
        <v>2786</v>
      </c>
      <c r="F71" s="1" t="s">
        <v>407</v>
      </c>
      <c r="G71" s="1"/>
      <c r="H71" s="1">
        <v>2018.0</v>
      </c>
      <c r="I71" s="1" t="s">
        <v>24</v>
      </c>
      <c r="J71" s="1" t="s">
        <v>2787</v>
      </c>
      <c r="K71" s="4" t="s">
        <v>2788</v>
      </c>
      <c r="L71" s="1" t="s">
        <v>2566</v>
      </c>
      <c r="N71" s="1" t="s">
        <v>23</v>
      </c>
    </row>
    <row r="72">
      <c r="A72" s="1">
        <v>8587.0</v>
      </c>
      <c r="B72" s="1" t="s">
        <v>2789</v>
      </c>
      <c r="C72" s="1" t="str">
        <f>IFERROR(__xludf.DUMMYFUNCTION("GOOGLETRANSLATE(B72)"),"Carbon Pricing Act 2018 (2020 Revised Edition)")</f>
        <v>Carbon Pricing Act 2018 (2020 Revised Edition)</v>
      </c>
      <c r="D72" s="1" t="s">
        <v>2785</v>
      </c>
      <c r="E72" s="1" t="s">
        <v>2786</v>
      </c>
      <c r="F72" s="1" t="s">
        <v>45</v>
      </c>
      <c r="G72" s="1"/>
      <c r="H72" s="1">
        <v>2020.0</v>
      </c>
      <c r="I72" s="1" t="s">
        <v>24</v>
      </c>
      <c r="J72" s="1" t="s">
        <v>2790</v>
      </c>
      <c r="K72" s="4" t="s">
        <v>2791</v>
      </c>
      <c r="L72" s="1" t="s">
        <v>2566</v>
      </c>
      <c r="N72" s="1" t="s">
        <v>275</v>
      </c>
    </row>
    <row r="73">
      <c r="A73" s="1">
        <v>1626.0</v>
      </c>
      <c r="B73" s="1" t="s">
        <v>2792</v>
      </c>
      <c r="C73" s="1" t="str">
        <f>IFERROR(__xludf.DUMMYFUNCTION("GOOGLETRANSLATE(B73)"),"Strategy of adaptation of the Slovak Republic to the unfavorable consequences of climate change")</f>
        <v>Strategy of adaptation of the Slovak Republic to the unfavorable consequences of climate change</v>
      </c>
      <c r="D73" s="1" t="s">
        <v>2793</v>
      </c>
      <c r="E73" s="1" t="s">
        <v>2794</v>
      </c>
      <c r="F73" s="1" t="s">
        <v>144</v>
      </c>
      <c r="G73" s="1"/>
      <c r="H73" s="1">
        <v>2014.0</v>
      </c>
      <c r="I73" s="1" t="s">
        <v>2795</v>
      </c>
      <c r="J73" s="1" t="s">
        <v>2796</v>
      </c>
      <c r="K73" s="4" t="s">
        <v>2797</v>
      </c>
      <c r="L73" s="1" t="s">
        <v>2566</v>
      </c>
      <c r="N73" s="1" t="s">
        <v>23</v>
      </c>
    </row>
    <row r="74">
      <c r="A74" s="1">
        <v>1626.0</v>
      </c>
      <c r="B74" s="1" t="s">
        <v>2792</v>
      </c>
      <c r="C74" s="1" t="str">
        <f>IFERROR(__xludf.DUMMYFUNCTION("GOOGLETRANSLATE(B74)"),"Strategy of adaptation of the Slovak Republic to the unfavorable consequences of climate change")</f>
        <v>Strategy of adaptation of the Slovak Republic to the unfavorable consequences of climate change</v>
      </c>
      <c r="D74" s="1" t="s">
        <v>2793</v>
      </c>
      <c r="E74" s="1" t="s">
        <v>2794</v>
      </c>
      <c r="F74" s="1" t="s">
        <v>144</v>
      </c>
      <c r="G74" s="1"/>
      <c r="H74" s="1">
        <v>2014.0</v>
      </c>
      <c r="I74" s="1" t="s">
        <v>2795</v>
      </c>
      <c r="J74" s="1" t="s">
        <v>2798</v>
      </c>
      <c r="K74" s="4" t="s">
        <v>2799</v>
      </c>
      <c r="L74" s="1" t="s">
        <v>2566</v>
      </c>
      <c r="N74" s="1" t="s">
        <v>23</v>
      </c>
    </row>
    <row r="75">
      <c r="A75" s="1">
        <v>9515.0</v>
      </c>
      <c r="B75" s="1" t="s">
        <v>2800</v>
      </c>
      <c r="C75" s="1" t="str">
        <f>IFERROR(__xludf.DUMMYFUNCTION("GOOGLETRANSLATE(B75)"),"Integrated National Energy and Climate Plan for 2021 to 2030")</f>
        <v>Integrated National Energy and Climate Plan for 2021 to 2030</v>
      </c>
      <c r="D75" s="1" t="s">
        <v>2793</v>
      </c>
      <c r="E75" s="1" t="s">
        <v>2794</v>
      </c>
      <c r="F75" s="1" t="s">
        <v>234</v>
      </c>
      <c r="G75" s="1"/>
      <c r="H75" s="1">
        <v>2019.0</v>
      </c>
      <c r="I75" s="1" t="s">
        <v>24</v>
      </c>
      <c r="J75" s="1" t="s">
        <v>2801</v>
      </c>
      <c r="K75" s="4" t="s">
        <v>2802</v>
      </c>
      <c r="L75" s="1" t="s">
        <v>2566</v>
      </c>
      <c r="N75" s="1" t="s">
        <v>23</v>
      </c>
    </row>
    <row r="76">
      <c r="A76" s="1">
        <v>9515.0</v>
      </c>
      <c r="B76" s="1" t="s">
        <v>2803</v>
      </c>
      <c r="C76" s="1" t="str">
        <f>IFERROR(__xludf.DUMMYFUNCTION("GOOGLETRANSLATE(B76)"),"Integrated National Energy and Climate Plan for 2021 - 2030")</f>
        <v>Integrated National Energy and Climate Plan for 2021 - 2030</v>
      </c>
      <c r="D76" s="1" t="s">
        <v>2793</v>
      </c>
      <c r="E76" s="1" t="s">
        <v>2794</v>
      </c>
      <c r="F76" s="1" t="s">
        <v>234</v>
      </c>
      <c r="G76" s="1"/>
      <c r="H76" s="1">
        <v>2019.0</v>
      </c>
      <c r="I76" s="1" t="s">
        <v>2795</v>
      </c>
      <c r="J76" s="1" t="s">
        <v>2804</v>
      </c>
      <c r="K76" s="4" t="s">
        <v>2805</v>
      </c>
      <c r="L76" s="1" t="s">
        <v>2566</v>
      </c>
      <c r="N76" s="1" t="s">
        <v>23</v>
      </c>
    </row>
    <row r="77">
      <c r="A77" s="1">
        <v>10510.0</v>
      </c>
      <c r="B77" s="1" t="s">
        <v>2806</v>
      </c>
      <c r="C77" s="1" t="str">
        <f>IFERROR(__xludf.DUMMYFUNCTION("GOOGLETRANSLATE(B77)"),"Slovakia’s recovery and resilience plan")</f>
        <v>Slovakia’s recovery and resilience plan</v>
      </c>
      <c r="D77" s="1" t="s">
        <v>2793</v>
      </c>
      <c r="E77" s="1" t="s">
        <v>2794</v>
      </c>
      <c r="F77" s="1" t="s">
        <v>234</v>
      </c>
      <c r="G77" s="1"/>
      <c r="H77" s="1">
        <v>2021.0</v>
      </c>
      <c r="I77" s="1" t="s">
        <v>24</v>
      </c>
      <c r="J77" s="1" t="s">
        <v>2807</v>
      </c>
      <c r="K77" s="4" t="s">
        <v>2808</v>
      </c>
      <c r="L77" s="1" t="s">
        <v>2566</v>
      </c>
      <c r="N77" s="1" t="s">
        <v>92</v>
      </c>
    </row>
    <row r="78">
      <c r="A78" s="1">
        <v>10510.0</v>
      </c>
      <c r="B78" s="1" t="s">
        <v>2809</v>
      </c>
      <c r="C78" s="1" t="str">
        <f>IFERROR(__xludf.DUMMYFUNCTION("GOOGLETRANSLATE(B78)"),"Recovery and resilience plan for Slovakia - associated documents")</f>
        <v>Recovery and resilience plan for Slovakia - associated documents</v>
      </c>
      <c r="D78" s="1" t="s">
        <v>2793</v>
      </c>
      <c r="E78" s="1" t="s">
        <v>2794</v>
      </c>
      <c r="F78" s="1" t="s">
        <v>234</v>
      </c>
      <c r="G78" s="1"/>
      <c r="H78" s="1">
        <v>2021.0</v>
      </c>
      <c r="I78" s="1" t="s">
        <v>24</v>
      </c>
      <c r="J78" s="4" t="s">
        <v>2810</v>
      </c>
      <c r="K78" s="4" t="s">
        <v>2811</v>
      </c>
      <c r="L78" s="1" t="s">
        <v>2566</v>
      </c>
      <c r="N78" s="1" t="s">
        <v>92</v>
      </c>
    </row>
    <row r="79">
      <c r="A79" s="1">
        <v>10510.0</v>
      </c>
      <c r="B79" s="1" t="s">
        <v>2812</v>
      </c>
      <c r="C79" s="1" t="str">
        <f>IFERROR(__xludf.DUMMYFUNCTION("GOOGLETRANSLATE(B79)"),"Factsheet: Slovakia’s recovery and resilience plan")</f>
        <v>Factsheet: Slovakia’s recovery and resilience plan</v>
      </c>
      <c r="D79" s="1" t="s">
        <v>2793</v>
      </c>
      <c r="E79" s="1" t="s">
        <v>2794</v>
      </c>
      <c r="F79" s="1" t="s">
        <v>234</v>
      </c>
      <c r="G79" s="1"/>
      <c r="H79" s="1">
        <v>2021.0</v>
      </c>
      <c r="I79" s="1" t="s">
        <v>24</v>
      </c>
      <c r="J79" s="1" t="s">
        <v>2813</v>
      </c>
      <c r="K79" s="4" t="s">
        <v>2814</v>
      </c>
      <c r="L79" s="1" t="s">
        <v>2566</v>
      </c>
      <c r="N79" s="1" t="s">
        <v>92</v>
      </c>
    </row>
    <row r="80">
      <c r="A80" s="1">
        <v>10510.0</v>
      </c>
      <c r="B80" s="1" t="s">
        <v>2815</v>
      </c>
      <c r="C80" s="1" t="s">
        <v>2816</v>
      </c>
      <c r="D80" s="1" t="s">
        <v>2793</v>
      </c>
      <c r="E80" s="1" t="s">
        <v>2794</v>
      </c>
      <c r="F80" s="1" t="s">
        <v>234</v>
      </c>
      <c r="G80" s="1"/>
      <c r="H80" s="1">
        <v>2021.0</v>
      </c>
      <c r="I80" s="1" t="s">
        <v>2795</v>
      </c>
      <c r="J80" s="1" t="s">
        <v>2817</v>
      </c>
      <c r="K80" s="4" t="s">
        <v>2818</v>
      </c>
      <c r="L80" s="1" t="s">
        <v>2566</v>
      </c>
      <c r="N80" s="1" t="s">
        <v>92</v>
      </c>
    </row>
    <row r="81">
      <c r="A81" s="1">
        <v>4806.0</v>
      </c>
      <c r="B81" s="1" t="s">
        <v>2819</v>
      </c>
      <c r="C81" s="1" t="s">
        <v>2820</v>
      </c>
      <c r="D81" s="1" t="s">
        <v>2821</v>
      </c>
      <c r="E81" s="1" t="s">
        <v>2822</v>
      </c>
      <c r="F81" s="1" t="s">
        <v>41</v>
      </c>
      <c r="G81" s="1"/>
      <c r="H81" s="1">
        <v>2005.0</v>
      </c>
      <c r="I81" s="1" t="s">
        <v>2823</v>
      </c>
      <c r="J81" s="1" t="s">
        <v>2824</v>
      </c>
      <c r="K81" s="4" t="s">
        <v>2825</v>
      </c>
      <c r="L81" s="1" t="s">
        <v>2566</v>
      </c>
      <c r="N81" s="1" t="s">
        <v>37</v>
      </c>
    </row>
    <row r="82">
      <c r="A82" s="1">
        <v>4806.0</v>
      </c>
      <c r="B82" s="1" t="s">
        <v>2819</v>
      </c>
      <c r="C82" s="1" t="s">
        <v>2820</v>
      </c>
      <c r="D82" s="1" t="s">
        <v>2821</v>
      </c>
      <c r="E82" s="1" t="s">
        <v>2822</v>
      </c>
      <c r="F82" s="1" t="s">
        <v>41</v>
      </c>
      <c r="G82" s="1"/>
      <c r="H82" s="1">
        <v>2014.0</v>
      </c>
      <c r="I82" s="1" t="s">
        <v>2823</v>
      </c>
      <c r="J82" s="1" t="s">
        <v>2826</v>
      </c>
      <c r="K82" s="4" t="s">
        <v>2827</v>
      </c>
      <c r="L82" s="1" t="s">
        <v>2566</v>
      </c>
      <c r="N82" s="1" t="s">
        <v>23</v>
      </c>
    </row>
    <row r="83">
      <c r="A83" s="1">
        <v>9516.0</v>
      </c>
      <c r="B83" s="1" t="s">
        <v>2828</v>
      </c>
      <c r="C83" s="1" t="str">
        <f>IFERROR(__xludf.DUMMYFUNCTION("GOOGLETRANSLATE(B83)"),"INTEGRATED NATIONAL ENERGY AND CLIMATE PLAN OF THE REPUBLIC OF SLOVENIA")</f>
        <v>INTEGRATED NATIONAL ENERGY AND CLIMATE PLAN OF THE REPUBLIC OF SLOVENIA</v>
      </c>
      <c r="D83" s="1" t="s">
        <v>2821</v>
      </c>
      <c r="E83" s="1" t="s">
        <v>2822</v>
      </c>
      <c r="F83" s="1" t="s">
        <v>234</v>
      </c>
      <c r="G83" s="1"/>
      <c r="H83" s="1">
        <v>2020.0</v>
      </c>
      <c r="I83" s="1" t="s">
        <v>24</v>
      </c>
      <c r="J83" s="1" t="s">
        <v>2829</v>
      </c>
      <c r="K83" s="4" t="s">
        <v>2830</v>
      </c>
      <c r="L83" s="1" t="s">
        <v>2566</v>
      </c>
      <c r="N83" s="1" t="s">
        <v>23</v>
      </c>
    </row>
    <row r="84">
      <c r="A84" s="1">
        <v>9516.0</v>
      </c>
      <c r="B84" s="1" t="s">
        <v>2831</v>
      </c>
      <c r="C84" s="1" t="str">
        <f>IFERROR(__xludf.DUMMYFUNCTION("GOOGLETRANSLATE(B84)"),"Comprehensive National Energy and Climate Plan of the Republic of Slovenia")</f>
        <v>Comprehensive National Energy and Climate Plan of the Republic of Slovenia</v>
      </c>
      <c r="D84" s="1" t="s">
        <v>2821</v>
      </c>
      <c r="E84" s="1" t="s">
        <v>2822</v>
      </c>
      <c r="F84" s="1" t="s">
        <v>234</v>
      </c>
      <c r="G84" s="1"/>
      <c r="H84" s="1">
        <v>2020.0</v>
      </c>
      <c r="I84" s="1" t="s">
        <v>2823</v>
      </c>
      <c r="J84" s="1" t="s">
        <v>2832</v>
      </c>
      <c r="K84" s="4" t="s">
        <v>2833</v>
      </c>
      <c r="L84" s="1" t="s">
        <v>2566</v>
      </c>
      <c r="N84" s="1" t="s">
        <v>23</v>
      </c>
    </row>
    <row r="85">
      <c r="A85" s="1">
        <v>10511.0</v>
      </c>
      <c r="B85" s="1" t="s">
        <v>2834</v>
      </c>
      <c r="C85" s="1" t="str">
        <f>IFERROR(__xludf.DUMMYFUNCTION("GOOGLETRANSLATE(B85)"),"European COUNCIL IMPLEMENTING DECISION on the approval of the assessment of the recovery and resilience plan for Slovenia")</f>
        <v>European COUNCIL IMPLEMENTING DECISION on the approval of the assessment of the recovery and resilience plan for Slovenia</v>
      </c>
      <c r="D85" s="1" t="s">
        <v>2821</v>
      </c>
      <c r="E85" s="1" t="s">
        <v>2822</v>
      </c>
      <c r="F85" s="1" t="s">
        <v>247</v>
      </c>
      <c r="G85" s="1"/>
      <c r="H85" s="1">
        <v>2021.0</v>
      </c>
      <c r="I85" s="1" t="s">
        <v>24</v>
      </c>
      <c r="J85" s="4" t="s">
        <v>2835</v>
      </c>
      <c r="K85" s="4" t="s">
        <v>2836</v>
      </c>
      <c r="L85" s="1" t="s">
        <v>2566</v>
      </c>
      <c r="N85" s="1" t="s">
        <v>92</v>
      </c>
    </row>
    <row r="86">
      <c r="A86" s="1">
        <v>10511.0</v>
      </c>
      <c r="B86" s="1" t="s">
        <v>2837</v>
      </c>
      <c r="C86" s="1" t="str">
        <f>IFERROR(__xludf.DUMMYFUNCTION("GOOGLETRANSLATE(B86)"),"Plan for recovery and resistance")</f>
        <v>Plan for recovery and resistance</v>
      </c>
      <c r="D86" s="1" t="s">
        <v>2821</v>
      </c>
      <c r="E86" s="1" t="s">
        <v>2822</v>
      </c>
      <c r="F86" s="1" t="s">
        <v>234</v>
      </c>
      <c r="G86" s="1"/>
      <c r="H86" s="1">
        <v>2020.0</v>
      </c>
      <c r="I86" s="1" t="s">
        <v>2823</v>
      </c>
      <c r="J86" s="1" t="s">
        <v>2838</v>
      </c>
      <c r="K86" s="4" t="s">
        <v>2839</v>
      </c>
      <c r="L86" s="1" t="s">
        <v>2566</v>
      </c>
      <c r="N86" s="1" t="s">
        <v>839</v>
      </c>
    </row>
    <row r="87">
      <c r="A87" s="1">
        <v>10511.0</v>
      </c>
      <c r="B87" s="1" t="s">
        <v>2840</v>
      </c>
      <c r="C87" s="1" t="str">
        <f>IFERROR(__xludf.DUMMYFUNCTION("GOOGLETRANSLATE(B87)"),"Plan for recovery and resistance")</f>
        <v>Plan for recovery and resistance</v>
      </c>
      <c r="D87" s="1" t="s">
        <v>2821</v>
      </c>
      <c r="E87" s="1" t="s">
        <v>2822</v>
      </c>
      <c r="F87" s="1" t="s">
        <v>234</v>
      </c>
      <c r="G87" s="1"/>
      <c r="H87" s="1">
        <v>2020.0</v>
      </c>
      <c r="I87" s="1" t="s">
        <v>2823</v>
      </c>
      <c r="J87" s="1" t="s">
        <v>2841</v>
      </c>
      <c r="K87" s="4" t="s">
        <v>2842</v>
      </c>
      <c r="L87" s="1" t="s">
        <v>2566</v>
      </c>
      <c r="N87" s="1" t="s">
        <v>92</v>
      </c>
    </row>
    <row r="88">
      <c r="A88" s="1">
        <v>10511.0</v>
      </c>
      <c r="B88" s="1" t="s">
        <v>2843</v>
      </c>
      <c r="C88" s="1" t="str">
        <f>IFERROR(__xludf.DUMMYFUNCTION("GOOGLETRANSLATE(B88)"),"Factsheet: Slovenia’s recovery and resilience plan")</f>
        <v>Factsheet: Slovenia’s recovery and resilience plan</v>
      </c>
      <c r="D88" s="1" t="s">
        <v>2821</v>
      </c>
      <c r="E88" s="1" t="s">
        <v>2822</v>
      </c>
      <c r="F88" s="1" t="s">
        <v>234</v>
      </c>
      <c r="G88" s="1"/>
      <c r="H88" s="1">
        <v>2021.0</v>
      </c>
      <c r="I88" s="1" t="s">
        <v>24</v>
      </c>
      <c r="J88" s="1" t="s">
        <v>2844</v>
      </c>
      <c r="K88" s="4" t="s">
        <v>2845</v>
      </c>
      <c r="L88" s="1" t="s">
        <v>2566</v>
      </c>
      <c r="N88" s="1" t="s">
        <v>92</v>
      </c>
    </row>
    <row r="89">
      <c r="A89" s="1">
        <v>10513.0</v>
      </c>
      <c r="B89" s="1" t="s">
        <v>2846</v>
      </c>
      <c r="C89" s="1" t="str">
        <f>IFERROR(__xludf.DUMMYFUNCTION("GOOGLETRANSLATE(B89)"),"Resolution on the National Social Security Program for the period 2022 - 2030")</f>
        <v>Resolution on the National Social Security Program for the period 2022 - 2030</v>
      </c>
      <c r="D89" s="1" t="s">
        <v>2821</v>
      </c>
      <c r="E89" s="1" t="s">
        <v>2822</v>
      </c>
      <c r="F89" s="1" t="s">
        <v>137</v>
      </c>
      <c r="G89" s="1"/>
      <c r="H89" s="1">
        <v>2022.0</v>
      </c>
      <c r="I89" s="1" t="s">
        <v>2823</v>
      </c>
      <c r="J89" s="1" t="s">
        <v>2847</v>
      </c>
      <c r="K89" s="4" t="s">
        <v>2848</v>
      </c>
      <c r="L89" s="1" t="s">
        <v>2566</v>
      </c>
      <c r="N89" s="1" t="s">
        <v>48</v>
      </c>
    </row>
    <row r="90">
      <c r="A90" s="1">
        <v>10513.0</v>
      </c>
      <c r="B90" s="1" t="s">
        <v>2849</v>
      </c>
      <c r="C90" s="1" t="str">
        <f>IFERROR(__xludf.DUMMYFUNCTION("GOOGLETRANSLATE(B90)"),"Resolution on the National Social Protection Program for the period 2022 - 2030")</f>
        <v>Resolution on the National Social Protection Program for the period 2022 - 2030</v>
      </c>
      <c r="D90" s="1" t="s">
        <v>2821</v>
      </c>
      <c r="E90" s="1" t="s">
        <v>2822</v>
      </c>
      <c r="F90" s="1" t="s">
        <v>137</v>
      </c>
      <c r="G90" s="1"/>
      <c r="H90" s="1">
        <v>2022.0</v>
      </c>
      <c r="I90" s="1" t="s">
        <v>24</v>
      </c>
      <c r="J90" s="1" t="s">
        <v>2850</v>
      </c>
      <c r="K90" s="4" t="s">
        <v>2851</v>
      </c>
      <c r="L90" s="1" t="s">
        <v>2566</v>
      </c>
      <c r="N90" s="1" t="s">
        <v>48</v>
      </c>
    </row>
    <row r="91">
      <c r="A91" s="1">
        <v>10513.0</v>
      </c>
      <c r="B91" s="1" t="s">
        <v>2852</v>
      </c>
      <c r="C91" s="1" t="str">
        <f>IFERROR(__xludf.DUMMYFUNCTION("GOOGLETRANSLATE(B91)"),"National Coal exit strategy and restructuring of coal regions in accordance with the principles of a fair passage")</f>
        <v>National Coal exit strategy and restructuring of coal regions in accordance with the principles of a fair passage</v>
      </c>
      <c r="D91" s="1" t="s">
        <v>2821</v>
      </c>
      <c r="E91" s="1" t="s">
        <v>2822</v>
      </c>
      <c r="F91" s="1" t="s">
        <v>144</v>
      </c>
      <c r="G91" s="1"/>
      <c r="H91" s="1">
        <v>2021.0</v>
      </c>
      <c r="I91" s="1" t="s">
        <v>2823</v>
      </c>
      <c r="J91" s="1" t="s">
        <v>2853</v>
      </c>
      <c r="K91" s="4" t="s">
        <v>2854</v>
      </c>
      <c r="L91" s="1" t="s">
        <v>2566</v>
      </c>
      <c r="N91" s="1" t="s">
        <v>23</v>
      </c>
    </row>
    <row r="92">
      <c r="A92" s="1">
        <v>10298.0</v>
      </c>
      <c r="B92" s="1" t="s">
        <v>2855</v>
      </c>
      <c r="C92" s="1" t="str">
        <f>IFERROR(__xludf.DUMMYFUNCTION("GOOGLETRANSLATE(B92)"),"NATIONAL DROUGHT PLAN FOR SOMALIA")</f>
        <v>NATIONAL DROUGHT PLAN FOR SOMALIA</v>
      </c>
      <c r="D92" s="1" t="s">
        <v>2856</v>
      </c>
      <c r="E92" s="1" t="s">
        <v>2857</v>
      </c>
      <c r="F92" s="1" t="s">
        <v>234</v>
      </c>
      <c r="G92" s="1"/>
      <c r="H92" s="1">
        <v>2020.0</v>
      </c>
      <c r="I92" s="1" t="s">
        <v>24</v>
      </c>
      <c r="J92" s="1" t="s">
        <v>2858</v>
      </c>
      <c r="K92" s="4" t="s">
        <v>2859</v>
      </c>
      <c r="L92" s="1" t="s">
        <v>2566</v>
      </c>
      <c r="N92" s="1" t="s">
        <v>23</v>
      </c>
    </row>
    <row r="93">
      <c r="A93" s="1">
        <v>10298.0</v>
      </c>
      <c r="B93" s="1" t="s">
        <v>2860</v>
      </c>
      <c r="C93" s="1" t="str">
        <f>IFERROR(__xludf.DUMMYFUNCTION("GOOGLETRANSLATE(B93)"),"Somalia Drought Impact &amp; Needs Assessment and Recovery &amp; Resilience Framework")</f>
        <v>Somalia Drought Impact &amp; Needs Assessment and Recovery &amp; Resilience Framework</v>
      </c>
      <c r="D93" s="1" t="s">
        <v>2856</v>
      </c>
      <c r="E93" s="1" t="s">
        <v>2857</v>
      </c>
      <c r="F93" s="9" t="s">
        <v>895</v>
      </c>
      <c r="G93" s="1"/>
      <c r="H93" s="1">
        <v>2020.0</v>
      </c>
      <c r="I93" s="1" t="s">
        <v>24</v>
      </c>
      <c r="J93" s="1" t="s">
        <v>2861</v>
      </c>
      <c r="K93" s="4" t="s">
        <v>2862</v>
      </c>
      <c r="L93" s="1" t="s">
        <v>2566</v>
      </c>
      <c r="N93" s="1" t="s">
        <v>23</v>
      </c>
    </row>
    <row r="94">
      <c r="A94" s="1">
        <v>1644.0</v>
      </c>
      <c r="B94" s="1" t="s">
        <v>2863</v>
      </c>
      <c r="C94" s="1" t="str">
        <f>IFERROR(__xludf.DUMMYFUNCTION("GOOGLETRANSLATE(B94)"),"Revenue trends and tax proposals")</f>
        <v>Revenue trends and tax proposals</v>
      </c>
      <c r="D94" s="1" t="s">
        <v>2864</v>
      </c>
      <c r="E94" s="1" t="s">
        <v>2865</v>
      </c>
      <c r="F94" s="1" t="s">
        <v>407</v>
      </c>
      <c r="G94" s="1"/>
      <c r="H94" s="1">
        <v>2009.0</v>
      </c>
      <c r="I94" s="1" t="s">
        <v>24</v>
      </c>
      <c r="J94" s="1" t="s">
        <v>2866</v>
      </c>
      <c r="K94" s="4" t="s">
        <v>2867</v>
      </c>
      <c r="L94" s="1" t="s">
        <v>2566</v>
      </c>
      <c r="N94" s="1" t="s">
        <v>23</v>
      </c>
    </row>
    <row r="95">
      <c r="A95" s="1">
        <v>1644.0</v>
      </c>
      <c r="B95" s="1" t="s">
        <v>2868</v>
      </c>
      <c r="C95" s="1" t="str">
        <f>IFERROR(__xludf.DUMMYFUNCTION("GOOGLETRANSLATE(B95)"),"Summary of additional tax proposals for 2009/10")</f>
        <v>Summary of additional tax proposals for 2009/10</v>
      </c>
      <c r="D95" s="1" t="s">
        <v>2864</v>
      </c>
      <c r="E95" s="1" t="s">
        <v>2865</v>
      </c>
      <c r="F95" s="1" t="s">
        <v>407</v>
      </c>
      <c r="G95" s="1"/>
      <c r="H95" s="1">
        <v>2009.0</v>
      </c>
      <c r="I95" s="1" t="s">
        <v>24</v>
      </c>
      <c r="J95" s="1" t="s">
        <v>2869</v>
      </c>
      <c r="K95" s="4" t="s">
        <v>2870</v>
      </c>
      <c r="L95" s="1" t="s">
        <v>2566</v>
      </c>
      <c r="N95" s="1" t="s">
        <v>23</v>
      </c>
    </row>
    <row r="96">
      <c r="A96" s="1">
        <v>8274.0</v>
      </c>
      <c r="B96" s="1" t="s">
        <v>2871</v>
      </c>
      <c r="C96" s="1" t="str">
        <f>IFERROR(__xludf.DUMMYFUNCTION("GOOGLETRANSLATE(B96)"),"National Greenhouse Gas Emission Reporting Regulations")</f>
        <v>National Greenhouse Gas Emission Reporting Regulations</v>
      </c>
      <c r="D96" s="1" t="s">
        <v>2864</v>
      </c>
      <c r="E96" s="1" t="s">
        <v>2865</v>
      </c>
      <c r="F96" s="1" t="s">
        <v>45</v>
      </c>
      <c r="G96" s="1"/>
      <c r="H96" s="1">
        <v>2017.0</v>
      </c>
      <c r="I96" s="1" t="s">
        <v>24</v>
      </c>
      <c r="J96" s="1" t="s">
        <v>2872</v>
      </c>
      <c r="K96" s="4" t="s">
        <v>2873</v>
      </c>
      <c r="L96" s="1" t="s">
        <v>2566</v>
      </c>
      <c r="N96" s="1" t="s">
        <v>23</v>
      </c>
    </row>
    <row r="97">
      <c r="A97" s="1">
        <v>8274.0</v>
      </c>
      <c r="B97" s="1" t="s">
        <v>2874</v>
      </c>
      <c r="C97" s="1" t="str">
        <f>IFERROR(__xludf.DUMMYFUNCTION("GOOGLETRANSLATE(B97)"),"AMENDMENTS TO THE NATIONAL GREENHOUSE GAS EMISSION REPORTING REGULATIONS, 2016")</f>
        <v>AMENDMENTS TO THE NATIONAL GREENHOUSE GAS EMISSION REPORTING REGULATIONS, 2016</v>
      </c>
      <c r="D97" s="1" t="s">
        <v>2864</v>
      </c>
      <c r="E97" s="1" t="s">
        <v>2865</v>
      </c>
      <c r="F97" s="1" t="s">
        <v>45</v>
      </c>
      <c r="G97" s="1"/>
      <c r="H97" s="1">
        <v>2020.0</v>
      </c>
      <c r="I97" s="1" t="s">
        <v>24</v>
      </c>
      <c r="J97" s="1" t="s">
        <v>2875</v>
      </c>
      <c r="K97" s="4" t="s">
        <v>2876</v>
      </c>
      <c r="L97" s="1" t="s">
        <v>2566</v>
      </c>
      <c r="N97" s="1" t="s">
        <v>23</v>
      </c>
    </row>
    <row r="98">
      <c r="A98" s="1">
        <v>8274.0</v>
      </c>
      <c r="B98" s="1" t="s">
        <v>2877</v>
      </c>
      <c r="C98" s="1" t="str">
        <f>IFERROR(__xludf.DUMMYFUNCTION("GOOGLETRANSLATE(B98)"),"DECLARATION OF GREENHOUSE GASES AS PRIORITY AIR POLLUTANTS")</f>
        <v>DECLARATION OF GREENHOUSE GASES AS PRIORITY AIR POLLUTANTS</v>
      </c>
      <c r="D98" s="1" t="s">
        <v>2864</v>
      </c>
      <c r="E98" s="1" t="s">
        <v>2865</v>
      </c>
      <c r="F98" s="1" t="s">
        <v>45</v>
      </c>
      <c r="G98" s="1"/>
      <c r="H98" s="1">
        <v>2017.0</v>
      </c>
      <c r="I98" s="1" t="s">
        <v>24</v>
      </c>
      <c r="J98" s="1" t="s">
        <v>2878</v>
      </c>
      <c r="K98" s="4" t="s">
        <v>2879</v>
      </c>
      <c r="L98" s="1" t="s">
        <v>2566</v>
      </c>
      <c r="N98" s="1" t="s">
        <v>23</v>
      </c>
    </row>
    <row r="99">
      <c r="A99" s="1">
        <v>8798.0</v>
      </c>
      <c r="B99" s="1" t="s">
        <v>2880</v>
      </c>
      <c r="C99" s="1" t="str">
        <f>IFERROR(__xludf.DUMMYFUNCTION("GOOGLETRANSLATE(B99)"),"DISASTER MANAGEMENT ACT. 2002")</f>
        <v>DISASTER MANAGEMENT ACT. 2002</v>
      </c>
      <c r="D99" s="1" t="s">
        <v>2864</v>
      </c>
      <c r="E99" s="1" t="s">
        <v>2865</v>
      </c>
      <c r="F99" s="1" t="s">
        <v>45</v>
      </c>
      <c r="G99" s="1"/>
      <c r="H99" s="1">
        <v>2003.0</v>
      </c>
      <c r="I99" s="1" t="s">
        <v>24</v>
      </c>
      <c r="J99" s="1" t="s">
        <v>2881</v>
      </c>
      <c r="K99" s="4" t="s">
        <v>2882</v>
      </c>
      <c r="L99" s="1" t="s">
        <v>2566</v>
      </c>
      <c r="N99" s="1" t="s">
        <v>23</v>
      </c>
    </row>
    <row r="100">
      <c r="A100" s="1">
        <v>8798.0</v>
      </c>
      <c r="B100" s="1" t="s">
        <v>2883</v>
      </c>
      <c r="C100" s="1" t="str">
        <f>IFERROR(__xludf.DUMMYFUNCTION("GOOGLETRANSLATE(B100)"),"Disaster Management Amendment Act, 2015")</f>
        <v>Disaster Management Amendment Act, 2015</v>
      </c>
      <c r="D100" s="1" t="s">
        <v>2864</v>
      </c>
      <c r="E100" s="1" t="s">
        <v>2865</v>
      </c>
      <c r="F100" s="1" t="s">
        <v>45</v>
      </c>
      <c r="G100" s="1"/>
      <c r="H100" s="1">
        <v>2015.0</v>
      </c>
      <c r="I100" s="1" t="s">
        <v>24</v>
      </c>
      <c r="J100" s="1" t="s">
        <v>2884</v>
      </c>
      <c r="K100" s="4" t="s">
        <v>2885</v>
      </c>
      <c r="L100" s="1" t="s">
        <v>2566</v>
      </c>
      <c r="N100" s="1" t="s">
        <v>23</v>
      </c>
    </row>
    <row r="101">
      <c r="A101" s="1">
        <v>8800.0</v>
      </c>
      <c r="B101" s="1" t="s">
        <v>2886</v>
      </c>
      <c r="C101" s="1" t="str">
        <f>IFERROR(__xludf.DUMMYFUNCTION("GOOGLETRANSLATE(B101)"),"Integrated Coastal Management Act, 2008")</f>
        <v>Integrated Coastal Management Act, 2008</v>
      </c>
      <c r="D101" s="1" t="s">
        <v>2864</v>
      </c>
      <c r="E101" s="1" t="s">
        <v>2865</v>
      </c>
      <c r="F101" s="1" t="s">
        <v>45</v>
      </c>
      <c r="G101" s="1"/>
      <c r="H101" s="1">
        <v>2008.0</v>
      </c>
      <c r="I101" s="1" t="s">
        <v>24</v>
      </c>
      <c r="J101" s="1" t="s">
        <v>2887</v>
      </c>
      <c r="K101" s="4" t="s">
        <v>2888</v>
      </c>
      <c r="L101" s="1" t="s">
        <v>2566</v>
      </c>
      <c r="N101" s="1" t="s">
        <v>23</v>
      </c>
    </row>
    <row r="102">
      <c r="A102" s="1">
        <v>8800.0</v>
      </c>
      <c r="B102" s="1" t="s">
        <v>2889</v>
      </c>
      <c r="C102" s="1" t="str">
        <f>IFERROR(__xludf.DUMMYFUNCTION("GOOGLETRANSLATE(B102)"),"Integrated Coastal Management Amendment Act, 2014")</f>
        <v>Integrated Coastal Management Amendment Act, 2014</v>
      </c>
      <c r="D102" s="1" t="s">
        <v>2864</v>
      </c>
      <c r="E102" s="1" t="s">
        <v>2865</v>
      </c>
      <c r="F102" s="1" t="s">
        <v>45</v>
      </c>
      <c r="G102" s="1"/>
      <c r="H102" s="1">
        <v>2014.0</v>
      </c>
      <c r="I102" s="1" t="s">
        <v>24</v>
      </c>
      <c r="J102" s="1" t="s">
        <v>2890</v>
      </c>
      <c r="K102" s="4" t="s">
        <v>2891</v>
      </c>
      <c r="L102" s="1" t="s">
        <v>2566</v>
      </c>
      <c r="N102" s="1" t="s">
        <v>23</v>
      </c>
    </row>
    <row r="103">
      <c r="A103" s="1">
        <v>9717.0</v>
      </c>
      <c r="B103" s="1" t="s">
        <v>2892</v>
      </c>
      <c r="C103" s="1" t="str">
        <f>IFERROR(__xludf.DUMMYFUNCTION("GOOGLETRANSLATE(B103)"),"National Development Plan 2030")</f>
        <v>National Development Plan 2030</v>
      </c>
      <c r="D103" s="1" t="s">
        <v>2864</v>
      </c>
      <c r="E103" s="1" t="s">
        <v>2865</v>
      </c>
      <c r="F103" s="1" t="s">
        <v>234</v>
      </c>
      <c r="G103" s="1"/>
      <c r="H103" s="1">
        <v>2013.0</v>
      </c>
      <c r="I103" s="1" t="s">
        <v>24</v>
      </c>
      <c r="J103" s="1" t="s">
        <v>2893</v>
      </c>
      <c r="K103" s="4" t="s">
        <v>2894</v>
      </c>
      <c r="L103" s="1" t="s">
        <v>2566</v>
      </c>
      <c r="N103" s="1" t="s">
        <v>92</v>
      </c>
    </row>
    <row r="104">
      <c r="A104" s="1">
        <v>9717.0</v>
      </c>
      <c r="B104" s="1" t="s">
        <v>2895</v>
      </c>
      <c r="C104" s="1" t="str">
        <f>IFERROR(__xludf.DUMMYFUNCTION("GOOGLETRANSLATE(B104)"),"NATIONAL DEVELOPMENT PLAN 2030")</f>
        <v>NATIONAL DEVELOPMENT PLAN 2030</v>
      </c>
      <c r="D104" s="1" t="s">
        <v>2864</v>
      </c>
      <c r="E104" s="1" t="s">
        <v>2865</v>
      </c>
      <c r="F104" s="1" t="s">
        <v>234</v>
      </c>
      <c r="G104" s="1"/>
      <c r="H104" s="1">
        <v>2013.0</v>
      </c>
      <c r="I104" s="1" t="s">
        <v>24</v>
      </c>
      <c r="J104" s="1" t="s">
        <v>2896</v>
      </c>
      <c r="K104" s="4" t="s">
        <v>2897</v>
      </c>
      <c r="L104" s="1" t="s">
        <v>2566</v>
      </c>
      <c r="N104" s="1" t="s">
        <v>23</v>
      </c>
    </row>
    <row r="105">
      <c r="A105" s="1">
        <v>10349.0</v>
      </c>
      <c r="B105" s="1" t="s">
        <v>2898</v>
      </c>
      <c r="C105" s="1" t="str">
        <f>IFERROR(__xludf.DUMMYFUNCTION("GOOGLETRANSLATE(B105)"),"Green Transport Strategy 2018-2050")</f>
        <v>Green Transport Strategy 2018-2050</v>
      </c>
      <c r="D105" s="1" t="s">
        <v>2864</v>
      </c>
      <c r="E105" s="1" t="s">
        <v>2865</v>
      </c>
      <c r="F105" s="1" t="s">
        <v>144</v>
      </c>
      <c r="G105" s="1"/>
      <c r="H105" s="1">
        <v>2018.0</v>
      </c>
      <c r="I105" s="1" t="s">
        <v>24</v>
      </c>
      <c r="J105" s="1" t="s">
        <v>2899</v>
      </c>
      <c r="K105" s="4" t="s">
        <v>2900</v>
      </c>
      <c r="L105" s="1" t="s">
        <v>2566</v>
      </c>
      <c r="N105" s="1" t="s">
        <v>37</v>
      </c>
    </row>
    <row r="106">
      <c r="A106" s="1">
        <v>10349.0</v>
      </c>
      <c r="B106" s="1" t="s">
        <v>2901</v>
      </c>
      <c r="C106" s="1" t="str">
        <f>IFERROR(__xludf.DUMMYFUNCTION("GOOGLETRANSLATE(B106)"),"National Transport Master Plan (NATMAP) 2050 Synopis Report")</f>
        <v>National Transport Master Plan (NATMAP) 2050 Synopis Report</v>
      </c>
      <c r="D106" s="1" t="s">
        <v>2864</v>
      </c>
      <c r="E106" s="1" t="s">
        <v>2865</v>
      </c>
      <c r="F106" s="1" t="s">
        <v>234</v>
      </c>
      <c r="G106" s="1"/>
      <c r="H106" s="1">
        <v>2017.0</v>
      </c>
      <c r="I106" s="1" t="s">
        <v>24</v>
      </c>
      <c r="J106" s="1" t="s">
        <v>2902</v>
      </c>
      <c r="K106" s="4" t="s">
        <v>2903</v>
      </c>
      <c r="L106" s="1" t="s">
        <v>2566</v>
      </c>
      <c r="N106" s="1" t="s">
        <v>229</v>
      </c>
    </row>
    <row r="107">
      <c r="A107" s="1">
        <v>1647.0</v>
      </c>
      <c r="B107" s="1" t="s">
        <v>2904</v>
      </c>
      <c r="C107" s="1" t="str">
        <f>IFERROR(__xludf.DUMMYFUNCTION("GOOGLETRANSLATE(B107)"),"ACT ON THE ALLOCATION AND TRADING OF GREENHOUSE-GAS EMISSION PERMITS")</f>
        <v>ACT ON THE ALLOCATION AND TRADING OF GREENHOUSE-GAS EMISSION PERMITS</v>
      </c>
      <c r="D107" s="1" t="s">
        <v>2905</v>
      </c>
      <c r="E107" s="1" t="s">
        <v>2906</v>
      </c>
      <c r="F107" s="1" t="s">
        <v>45</v>
      </c>
      <c r="G107" s="1"/>
      <c r="H107" s="1">
        <v>2012.0</v>
      </c>
      <c r="I107" s="1" t="s">
        <v>24</v>
      </c>
      <c r="J107" s="1" t="s">
        <v>2907</v>
      </c>
      <c r="K107" s="4" t="s">
        <v>2908</v>
      </c>
      <c r="L107" s="1" t="s">
        <v>2566</v>
      </c>
      <c r="N107" s="1" t="s">
        <v>23</v>
      </c>
    </row>
    <row r="108">
      <c r="A108" s="1">
        <v>1647.0</v>
      </c>
      <c r="B108" s="1" t="s">
        <v>2909</v>
      </c>
      <c r="C108" s="1" t="str">
        <f>IFERROR(__xludf.DUMMYFUNCTION("GOOGLETRANSLATE(B108)"),"Law on allocation and transactions of greenhouse gas emissions")</f>
        <v>Law on allocation and transactions of greenhouse gas emissions</v>
      </c>
      <c r="D108" s="1" t="s">
        <v>2905</v>
      </c>
      <c r="E108" s="1" t="s">
        <v>2906</v>
      </c>
      <c r="F108" s="1" t="s">
        <v>41</v>
      </c>
      <c r="G108" s="1"/>
      <c r="H108" s="1">
        <v>2020.0</v>
      </c>
      <c r="I108" s="1" t="s">
        <v>2910</v>
      </c>
      <c r="J108" s="4" t="s">
        <v>2911</v>
      </c>
      <c r="K108" s="4" t="s">
        <v>2912</v>
      </c>
      <c r="L108" s="1" t="s">
        <v>2566</v>
      </c>
      <c r="N108" s="1" t="s">
        <v>229</v>
      </c>
    </row>
    <row r="109">
      <c r="A109" s="9">
        <v>1647.0</v>
      </c>
      <c r="B109" s="3"/>
      <c r="C109" s="9" t="str">
        <f>IFERROR(__xludf.DUMMYFUNCTION("GOOGLETRANSLATE(B109)"),"#VALUE!")</f>
        <v>#VALUE!</v>
      </c>
      <c r="D109" s="9" t="s">
        <v>2905</v>
      </c>
      <c r="E109" s="9" t="s">
        <v>2906</v>
      </c>
      <c r="F109" s="3"/>
      <c r="G109" s="3"/>
      <c r="H109" s="3"/>
      <c r="I109" s="3"/>
      <c r="J109" s="24" t="s">
        <v>2913</v>
      </c>
      <c r="K109" s="24" t="s">
        <v>2914</v>
      </c>
      <c r="L109" s="9" t="s">
        <v>2566</v>
      </c>
      <c r="M109" s="3"/>
      <c r="N109" s="9" t="s">
        <v>839</v>
      </c>
      <c r="O109" s="3"/>
      <c r="P109" s="3"/>
      <c r="Q109" s="3"/>
      <c r="R109" s="3"/>
      <c r="S109" s="3"/>
      <c r="T109" s="3"/>
      <c r="U109" s="3"/>
      <c r="V109" s="3"/>
      <c r="W109" s="3"/>
      <c r="X109" s="3"/>
      <c r="Y109" s="3"/>
      <c r="Z109" s="3"/>
      <c r="AA109" s="3"/>
      <c r="AB109" s="3"/>
    </row>
    <row r="110">
      <c r="A110" s="1">
        <v>1647.0</v>
      </c>
      <c r="B110" s="1" t="s">
        <v>2915</v>
      </c>
      <c r="C110" s="1" t="str">
        <f>IFERROR(__xludf.DUMMYFUNCTION("GOOGLETRANSLATE(B110)")," Emissions Trading System 3rd Planning period Allocation Plan")</f>
        <v> Emissions Trading System 3rd Planning period Allocation Plan</v>
      </c>
      <c r="D110" s="1" t="s">
        <v>2905</v>
      </c>
      <c r="E110" s="1" t="s">
        <v>2906</v>
      </c>
      <c r="F110" s="1" t="s">
        <v>234</v>
      </c>
      <c r="G110" s="1"/>
      <c r="H110" s="1">
        <v>2020.0</v>
      </c>
      <c r="I110" s="1" t="s">
        <v>2910</v>
      </c>
      <c r="J110" s="4" t="s">
        <v>2916</v>
      </c>
      <c r="K110" s="4" t="s">
        <v>2917</v>
      </c>
      <c r="L110" s="1" t="s">
        <v>2566</v>
      </c>
      <c r="N110" s="1" t="s">
        <v>37</v>
      </c>
    </row>
    <row r="111">
      <c r="A111" s="1">
        <v>1650.0</v>
      </c>
      <c r="B111" s="1" t="s">
        <v>2918</v>
      </c>
      <c r="C111" s="1" t="str">
        <f>IFERROR(__xludf.DUMMYFUNCTION("GOOGLETRANSLATE(B111)"),"Enforcement Decree of the Framework Act on Low Carbon Green Growth")</f>
        <v>Enforcement Decree of the Framework Act on Low Carbon Green Growth</v>
      </c>
      <c r="D111" s="1" t="s">
        <v>2905</v>
      </c>
      <c r="E111" s="1" t="s">
        <v>2906</v>
      </c>
      <c r="F111" s="1" t="s">
        <v>18</v>
      </c>
      <c r="G111" s="3"/>
      <c r="H111" s="3"/>
      <c r="I111" s="1" t="s">
        <v>2910</v>
      </c>
      <c r="J111" s="1" t="s">
        <v>2919</v>
      </c>
      <c r="K111" s="4" t="s">
        <v>2920</v>
      </c>
      <c r="L111" s="1" t="s">
        <v>2566</v>
      </c>
      <c r="N111" s="1" t="s">
        <v>23</v>
      </c>
    </row>
    <row r="112">
      <c r="A112" s="1">
        <v>1650.0</v>
      </c>
      <c r="B112" s="1" t="s">
        <v>2921</v>
      </c>
      <c r="C112" s="1" t="str">
        <f>IFERROR(__xludf.DUMMYFUNCTION("GOOGLETRANSLATE(B112)"),"FRAMEWORK ACT ON LOW CARBON, GREEN GROWTH")</f>
        <v>FRAMEWORK ACT ON LOW CARBON, GREEN GROWTH</v>
      </c>
      <c r="D112" s="1" t="s">
        <v>2905</v>
      </c>
      <c r="E112" s="1" t="s">
        <v>2906</v>
      </c>
      <c r="F112" s="1" t="s">
        <v>45</v>
      </c>
      <c r="G112" s="1"/>
      <c r="H112" s="1">
        <v>2016.0</v>
      </c>
      <c r="I112" s="1" t="s">
        <v>24</v>
      </c>
      <c r="J112" s="1" t="s">
        <v>2922</v>
      </c>
      <c r="K112" s="4" t="s">
        <v>2923</v>
      </c>
      <c r="L112" s="1" t="s">
        <v>2566</v>
      </c>
      <c r="N112" s="1" t="s">
        <v>23</v>
      </c>
    </row>
    <row r="113">
      <c r="A113" s="1">
        <v>8529.0</v>
      </c>
      <c r="B113" s="1" t="s">
        <v>2924</v>
      </c>
      <c r="C113" s="1" t="str">
        <f>IFERROR(__xludf.DUMMYFUNCTION("GOOGLETRANSLATE(B113)"),"Renewable Energy 3020 Implementation Plan (draft)")</f>
        <v>Renewable Energy 3020 Implementation Plan (draft)</v>
      </c>
      <c r="D113" s="1" t="s">
        <v>2905</v>
      </c>
      <c r="E113" s="1" t="s">
        <v>2906</v>
      </c>
      <c r="F113" s="1" t="s">
        <v>234</v>
      </c>
      <c r="G113" s="1"/>
      <c r="H113" s="1">
        <v>2017.0</v>
      </c>
      <c r="I113" s="1" t="s">
        <v>2910</v>
      </c>
      <c r="J113" s="1" t="s">
        <v>2925</v>
      </c>
      <c r="K113" s="4" t="s">
        <v>2926</v>
      </c>
      <c r="L113" s="1" t="s">
        <v>2566</v>
      </c>
      <c r="N113" s="1" t="s">
        <v>23</v>
      </c>
    </row>
    <row r="114">
      <c r="A114" s="1">
        <v>8529.0</v>
      </c>
      <c r="B114" s="1" t="s">
        <v>2927</v>
      </c>
      <c r="C114" s="1" t="str">
        <f>IFERROR(__xludf.DUMMYFUNCTION("GOOGLETRANSLATE(B114)"),"8th Electric Power Supply Supply Supply Plan 2017-2031")</f>
        <v>8th Electric Power Supply Supply Supply Plan 2017-2031</v>
      </c>
      <c r="D114" s="1" t="s">
        <v>2905</v>
      </c>
      <c r="E114" s="1" t="s">
        <v>2906</v>
      </c>
      <c r="F114" s="1" t="s">
        <v>234</v>
      </c>
      <c r="G114" s="1"/>
      <c r="H114" s="1">
        <v>2017.0</v>
      </c>
      <c r="I114" s="1" t="s">
        <v>2910</v>
      </c>
      <c r="J114" s="1" t="s">
        <v>2928</v>
      </c>
      <c r="K114" s="4" t="s">
        <v>2929</v>
      </c>
      <c r="L114" s="1" t="s">
        <v>2566</v>
      </c>
      <c r="N114" s="1" t="s">
        <v>23</v>
      </c>
    </row>
    <row r="115">
      <c r="A115" s="9">
        <v>8586.0</v>
      </c>
      <c r="B115" s="3"/>
      <c r="C115" s="9" t="str">
        <f>IFERROR(__xludf.DUMMYFUNCTION("GOOGLETRANSLATE(B115)"),"#VALUE!")</f>
        <v>#VALUE!</v>
      </c>
      <c r="D115" s="9" t="s">
        <v>2905</v>
      </c>
      <c r="E115" s="9" t="s">
        <v>2906</v>
      </c>
      <c r="F115" s="3"/>
      <c r="G115" s="3"/>
      <c r="H115" s="3"/>
      <c r="I115" s="3"/>
      <c r="J115" s="9" t="s">
        <v>2930</v>
      </c>
      <c r="K115" s="24" t="s">
        <v>2931</v>
      </c>
      <c r="L115" s="9" t="s">
        <v>2566</v>
      </c>
      <c r="M115" s="3"/>
      <c r="N115" s="9" t="s">
        <v>92</v>
      </c>
      <c r="O115" s="3"/>
      <c r="P115" s="3"/>
      <c r="Q115" s="3"/>
      <c r="R115" s="3"/>
      <c r="S115" s="3"/>
      <c r="T115" s="3"/>
      <c r="U115" s="3"/>
      <c r="V115" s="3"/>
      <c r="W115" s="3"/>
      <c r="X115" s="3"/>
      <c r="Y115" s="3"/>
      <c r="Z115" s="3"/>
      <c r="AA115" s="3"/>
      <c r="AB115" s="3"/>
    </row>
    <row r="116">
      <c r="A116" s="1">
        <v>8586.0</v>
      </c>
      <c r="B116" s="1" t="s">
        <v>2932</v>
      </c>
      <c r="C116" s="1" t="str">
        <f>IFERROR(__xludf.DUMMYFUNCTION("GOOGLETRANSLATE(B116)"),"Third Energy Master Plan")</f>
        <v>Third Energy Master Plan</v>
      </c>
      <c r="D116" s="1" t="s">
        <v>2905</v>
      </c>
      <c r="E116" s="1" t="s">
        <v>2906</v>
      </c>
      <c r="F116" s="1" t="s">
        <v>234</v>
      </c>
      <c r="G116" s="3"/>
      <c r="H116" s="3"/>
      <c r="I116" s="1" t="s">
        <v>24</v>
      </c>
      <c r="J116" s="1" t="s">
        <v>2933</v>
      </c>
      <c r="K116" s="4" t="s">
        <v>2934</v>
      </c>
      <c r="L116" s="1" t="s">
        <v>2566</v>
      </c>
      <c r="N116" s="1" t="s">
        <v>37</v>
      </c>
    </row>
    <row r="117">
      <c r="F117" s="6"/>
      <c r="G117" s="6"/>
    </row>
    <row r="118">
      <c r="F118" s="6"/>
      <c r="G118" s="6"/>
    </row>
    <row r="119">
      <c r="F119" s="6"/>
      <c r="G119" s="6"/>
    </row>
    <row r="120">
      <c r="F120" s="6"/>
      <c r="G120" s="6"/>
    </row>
    <row r="121">
      <c r="F121" s="6"/>
      <c r="G121" s="6"/>
    </row>
    <row r="122">
      <c r="F122" s="6"/>
      <c r="G122" s="6"/>
    </row>
    <row r="123">
      <c r="F123" s="6"/>
      <c r="G123" s="6"/>
    </row>
    <row r="124">
      <c r="F124" s="6"/>
      <c r="G124" s="6"/>
    </row>
    <row r="125">
      <c r="F125" s="6"/>
      <c r="G125" s="6"/>
    </row>
    <row r="126">
      <c r="F126" s="6"/>
      <c r="G126" s="6"/>
    </row>
    <row r="127">
      <c r="F127" s="6"/>
      <c r="G127" s="6"/>
    </row>
    <row r="128">
      <c r="F128" s="6"/>
      <c r="G128" s="6"/>
    </row>
    <row r="129">
      <c r="F129" s="6"/>
      <c r="G129" s="6"/>
    </row>
    <row r="130">
      <c r="F130" s="6"/>
      <c r="G130" s="6"/>
    </row>
    <row r="131">
      <c r="F131" s="6"/>
      <c r="G131" s="6"/>
    </row>
    <row r="132">
      <c r="F132" s="6"/>
      <c r="G132" s="6"/>
    </row>
    <row r="133">
      <c r="F133" s="6"/>
      <c r="G133" s="6"/>
    </row>
    <row r="134">
      <c r="F134" s="6"/>
      <c r="G134" s="6"/>
    </row>
    <row r="135">
      <c r="F135" s="6"/>
      <c r="G135" s="6"/>
    </row>
    <row r="136">
      <c r="F136" s="6"/>
      <c r="G136" s="6"/>
    </row>
    <row r="137">
      <c r="F137" s="6"/>
      <c r="G137" s="6"/>
    </row>
    <row r="138">
      <c r="F138" s="6"/>
      <c r="G138" s="6"/>
    </row>
    <row r="139">
      <c r="F139" s="6"/>
      <c r="G139" s="6"/>
    </row>
    <row r="140">
      <c r="F140" s="6"/>
      <c r="G140" s="6"/>
    </row>
    <row r="141">
      <c r="F141" s="6"/>
      <c r="G141" s="6"/>
    </row>
    <row r="142">
      <c r="F142" s="6"/>
      <c r="G142" s="6"/>
    </row>
    <row r="143">
      <c r="F143" s="6"/>
      <c r="G143" s="6"/>
    </row>
    <row r="144">
      <c r="F144" s="6"/>
      <c r="G144" s="6"/>
    </row>
    <row r="145">
      <c r="F145" s="6"/>
      <c r="G145" s="6"/>
    </row>
    <row r="146">
      <c r="F146" s="6"/>
      <c r="G146" s="6"/>
    </row>
    <row r="147">
      <c r="F147" s="6"/>
      <c r="G147" s="6"/>
    </row>
    <row r="148">
      <c r="F148" s="6"/>
      <c r="G148" s="6"/>
    </row>
    <row r="149">
      <c r="F149" s="6"/>
      <c r="G149" s="6"/>
    </row>
    <row r="150">
      <c r="F150" s="6"/>
      <c r="G150" s="6"/>
    </row>
    <row r="151">
      <c r="F151" s="6"/>
      <c r="G151" s="6"/>
    </row>
    <row r="152">
      <c r="F152" s="6"/>
      <c r="G152" s="6"/>
    </row>
    <row r="153">
      <c r="F153" s="6"/>
      <c r="G153" s="6"/>
    </row>
    <row r="154">
      <c r="F154" s="6"/>
      <c r="G154" s="6"/>
    </row>
    <row r="155">
      <c r="F155" s="6"/>
      <c r="G155" s="6"/>
    </row>
    <row r="156">
      <c r="F156" s="6"/>
      <c r="G156" s="6"/>
    </row>
    <row r="157">
      <c r="F157" s="6"/>
      <c r="G157" s="6"/>
    </row>
    <row r="158">
      <c r="F158" s="6"/>
      <c r="G158" s="6"/>
    </row>
    <row r="159">
      <c r="F159" s="6"/>
      <c r="G159" s="6"/>
    </row>
    <row r="160">
      <c r="F160" s="6"/>
      <c r="G160" s="6"/>
    </row>
    <row r="161">
      <c r="F161" s="6"/>
      <c r="G161" s="6"/>
    </row>
    <row r="162">
      <c r="F162" s="6"/>
      <c r="G162" s="6"/>
    </row>
    <row r="163">
      <c r="F163" s="6"/>
      <c r="G163" s="6"/>
    </row>
    <row r="164">
      <c r="F164" s="6"/>
      <c r="G164" s="6"/>
    </row>
    <row r="165">
      <c r="F165" s="6"/>
      <c r="G165" s="6"/>
    </row>
    <row r="166">
      <c r="F166" s="6"/>
      <c r="G166" s="6"/>
    </row>
    <row r="167">
      <c r="F167" s="6"/>
      <c r="G167" s="6"/>
    </row>
    <row r="168">
      <c r="F168" s="6"/>
      <c r="G168" s="6"/>
    </row>
    <row r="169">
      <c r="F169" s="6"/>
      <c r="G169" s="6"/>
    </row>
    <row r="170">
      <c r="F170" s="6"/>
      <c r="G170" s="6"/>
    </row>
    <row r="171">
      <c r="F171" s="6"/>
      <c r="G171" s="6"/>
    </row>
    <row r="172">
      <c r="F172" s="6"/>
      <c r="G172" s="6"/>
    </row>
    <row r="173">
      <c r="F173" s="6"/>
      <c r="G173" s="6"/>
    </row>
    <row r="174">
      <c r="F174" s="6"/>
      <c r="G174" s="6"/>
    </row>
    <row r="175">
      <c r="F175" s="6"/>
      <c r="G175" s="6"/>
    </row>
    <row r="176">
      <c r="F176" s="6"/>
      <c r="G176" s="6"/>
    </row>
    <row r="177">
      <c r="F177" s="6"/>
      <c r="G177" s="6"/>
    </row>
    <row r="178">
      <c r="F178" s="6"/>
      <c r="G178" s="6"/>
    </row>
    <row r="179">
      <c r="F179" s="6"/>
      <c r="G179" s="6"/>
    </row>
    <row r="180">
      <c r="F180" s="6"/>
      <c r="G180" s="6"/>
    </row>
    <row r="181">
      <c r="F181" s="6"/>
      <c r="G181" s="6"/>
    </row>
    <row r="182">
      <c r="F182" s="6"/>
      <c r="G182" s="6"/>
    </row>
    <row r="183">
      <c r="F183" s="6"/>
      <c r="G183" s="6"/>
    </row>
    <row r="184">
      <c r="F184" s="6"/>
      <c r="G184" s="6"/>
    </row>
    <row r="185">
      <c r="F185" s="6"/>
      <c r="G185" s="6"/>
    </row>
    <row r="186">
      <c r="F186" s="6"/>
      <c r="G186" s="6"/>
    </row>
    <row r="187">
      <c r="F187" s="6"/>
      <c r="G187" s="6"/>
    </row>
    <row r="188">
      <c r="F188" s="6"/>
      <c r="G188" s="6"/>
    </row>
    <row r="189">
      <c r="F189" s="6"/>
      <c r="G189" s="6"/>
    </row>
    <row r="190">
      <c r="F190" s="6"/>
      <c r="G190" s="6"/>
    </row>
    <row r="191">
      <c r="F191" s="6"/>
      <c r="G191" s="6"/>
    </row>
    <row r="192">
      <c r="F192" s="6"/>
      <c r="G192" s="6"/>
    </row>
    <row r="193">
      <c r="F193" s="6"/>
      <c r="G193" s="6"/>
    </row>
    <row r="194">
      <c r="F194" s="6"/>
      <c r="G194" s="6"/>
    </row>
    <row r="195">
      <c r="F195" s="6"/>
      <c r="G195" s="6"/>
    </row>
    <row r="196">
      <c r="F196" s="6"/>
      <c r="G196" s="6"/>
    </row>
    <row r="197">
      <c r="F197" s="6"/>
      <c r="G197" s="6"/>
    </row>
    <row r="198">
      <c r="F198" s="6"/>
      <c r="G198" s="6"/>
    </row>
    <row r="199">
      <c r="F199" s="6"/>
      <c r="G199" s="6"/>
    </row>
    <row r="200">
      <c r="F200" s="6"/>
      <c r="G200" s="6"/>
    </row>
    <row r="201">
      <c r="F201" s="6"/>
      <c r="G201" s="6"/>
    </row>
    <row r="202">
      <c r="F202" s="6"/>
      <c r="G202" s="6"/>
    </row>
    <row r="203">
      <c r="F203" s="6"/>
      <c r="G203" s="6"/>
    </row>
    <row r="204">
      <c r="F204" s="6"/>
      <c r="G204" s="6"/>
    </row>
    <row r="205">
      <c r="F205" s="6"/>
      <c r="G205" s="6"/>
    </row>
    <row r="206">
      <c r="F206" s="6"/>
      <c r="G206" s="6"/>
    </row>
    <row r="207">
      <c r="F207" s="6"/>
      <c r="G207" s="6"/>
    </row>
    <row r="208">
      <c r="F208" s="6"/>
      <c r="G208" s="6"/>
    </row>
    <row r="209">
      <c r="F209" s="6"/>
      <c r="G209" s="6"/>
    </row>
    <row r="210">
      <c r="F210" s="6"/>
      <c r="G210" s="6"/>
    </row>
    <row r="211">
      <c r="F211" s="6"/>
      <c r="G211" s="6"/>
    </row>
    <row r="212">
      <c r="F212" s="6"/>
      <c r="G212" s="6"/>
    </row>
    <row r="213">
      <c r="F213" s="6"/>
      <c r="G213" s="6"/>
    </row>
    <row r="214">
      <c r="F214" s="6"/>
      <c r="G214" s="6"/>
    </row>
    <row r="215">
      <c r="F215" s="6"/>
      <c r="G215" s="6"/>
    </row>
    <row r="216">
      <c r="F216" s="6"/>
      <c r="G216" s="6"/>
    </row>
    <row r="217">
      <c r="F217" s="6"/>
      <c r="G217" s="6"/>
    </row>
    <row r="218">
      <c r="F218" s="6"/>
      <c r="G218" s="6"/>
    </row>
    <row r="219">
      <c r="F219" s="6"/>
      <c r="G219" s="6"/>
    </row>
    <row r="220">
      <c r="F220" s="6"/>
      <c r="G220" s="6"/>
    </row>
    <row r="221">
      <c r="F221" s="6"/>
      <c r="G221" s="6"/>
    </row>
    <row r="222">
      <c r="F222" s="6"/>
      <c r="G222" s="6"/>
    </row>
    <row r="223">
      <c r="F223" s="6"/>
      <c r="G223" s="6"/>
    </row>
    <row r="224">
      <c r="F224" s="6"/>
      <c r="G224" s="6"/>
    </row>
    <row r="225">
      <c r="F225" s="6"/>
      <c r="G225" s="6"/>
    </row>
    <row r="226">
      <c r="F226" s="6"/>
      <c r="G226" s="6"/>
    </row>
    <row r="227">
      <c r="F227" s="6"/>
      <c r="G227" s="6"/>
    </row>
    <row r="228">
      <c r="F228" s="6"/>
      <c r="G228" s="6"/>
    </row>
    <row r="229">
      <c r="F229" s="6"/>
      <c r="G229" s="6"/>
    </row>
    <row r="230">
      <c r="F230" s="6"/>
      <c r="G230" s="6"/>
    </row>
    <row r="231">
      <c r="F231" s="6"/>
      <c r="G231" s="6"/>
    </row>
    <row r="232">
      <c r="F232" s="6"/>
      <c r="G232" s="6"/>
    </row>
    <row r="233">
      <c r="F233" s="6"/>
      <c r="G233" s="6"/>
    </row>
    <row r="234">
      <c r="F234" s="6"/>
      <c r="G234" s="6"/>
    </row>
    <row r="235">
      <c r="F235" s="6"/>
      <c r="G235" s="6"/>
    </row>
    <row r="236">
      <c r="F236" s="6"/>
      <c r="G236" s="6"/>
    </row>
    <row r="237">
      <c r="F237" s="6"/>
      <c r="G237" s="6"/>
    </row>
    <row r="238">
      <c r="F238" s="6"/>
      <c r="G238" s="6"/>
    </row>
    <row r="239">
      <c r="F239" s="6"/>
      <c r="G239" s="6"/>
    </row>
    <row r="240">
      <c r="F240" s="6"/>
      <c r="G240" s="6"/>
    </row>
    <row r="241">
      <c r="F241" s="6"/>
      <c r="G241" s="6"/>
    </row>
    <row r="242">
      <c r="F242" s="6"/>
      <c r="G242" s="6"/>
    </row>
    <row r="243">
      <c r="F243" s="6"/>
      <c r="G243" s="6"/>
    </row>
    <row r="244">
      <c r="F244" s="6"/>
      <c r="G244" s="6"/>
    </row>
    <row r="245">
      <c r="F245" s="6"/>
      <c r="G245" s="6"/>
    </row>
    <row r="246">
      <c r="F246" s="6"/>
      <c r="G246" s="6"/>
    </row>
    <row r="247">
      <c r="F247" s="6"/>
      <c r="G247" s="6"/>
    </row>
    <row r="248">
      <c r="F248" s="6"/>
      <c r="G248" s="6"/>
    </row>
    <row r="249">
      <c r="F249" s="6"/>
      <c r="G249" s="6"/>
    </row>
    <row r="250">
      <c r="F250" s="6"/>
      <c r="G250" s="6"/>
    </row>
    <row r="251">
      <c r="F251" s="6"/>
      <c r="G251" s="6"/>
    </row>
    <row r="252">
      <c r="F252" s="6"/>
      <c r="G252" s="6"/>
    </row>
    <row r="253">
      <c r="F253" s="6"/>
      <c r="G253" s="6"/>
    </row>
    <row r="254">
      <c r="F254" s="6"/>
      <c r="G254" s="6"/>
    </row>
    <row r="255">
      <c r="F255" s="6"/>
      <c r="G255" s="6"/>
    </row>
    <row r="256">
      <c r="F256" s="6"/>
      <c r="G256" s="6"/>
    </row>
    <row r="257">
      <c r="F257" s="6"/>
      <c r="G257" s="6"/>
    </row>
    <row r="258">
      <c r="F258" s="6"/>
      <c r="G258" s="6"/>
    </row>
    <row r="259">
      <c r="F259" s="6"/>
      <c r="G259" s="6"/>
    </row>
    <row r="260">
      <c r="F260" s="6"/>
      <c r="G260" s="6"/>
    </row>
    <row r="261">
      <c r="F261" s="6"/>
      <c r="G261" s="6"/>
    </row>
    <row r="262">
      <c r="F262" s="6"/>
      <c r="G262" s="6"/>
    </row>
    <row r="263">
      <c r="F263" s="6"/>
      <c r="G263" s="6"/>
    </row>
    <row r="264">
      <c r="F264" s="6"/>
      <c r="G264" s="6"/>
    </row>
    <row r="265">
      <c r="F265" s="6"/>
      <c r="G265" s="6"/>
    </row>
    <row r="266">
      <c r="F266" s="6"/>
      <c r="G266" s="6"/>
    </row>
    <row r="267">
      <c r="F267" s="6"/>
      <c r="G267" s="6"/>
    </row>
    <row r="268">
      <c r="F268" s="6"/>
      <c r="G268" s="6"/>
    </row>
    <row r="269">
      <c r="F269" s="6"/>
      <c r="G269" s="6"/>
    </row>
    <row r="270">
      <c r="F270" s="6"/>
      <c r="G270" s="6"/>
    </row>
    <row r="271">
      <c r="F271" s="6"/>
      <c r="G271" s="6"/>
    </row>
    <row r="272">
      <c r="F272" s="6"/>
      <c r="G272" s="6"/>
    </row>
    <row r="273">
      <c r="F273" s="6"/>
      <c r="G273" s="6"/>
    </row>
    <row r="274">
      <c r="F274" s="6"/>
      <c r="G274" s="6"/>
    </row>
    <row r="275">
      <c r="F275" s="6"/>
      <c r="G275" s="6"/>
    </row>
    <row r="276">
      <c r="F276" s="6"/>
      <c r="G276" s="6"/>
    </row>
    <row r="277">
      <c r="F277" s="6"/>
      <c r="G277" s="6"/>
    </row>
    <row r="278">
      <c r="F278" s="6"/>
      <c r="G278" s="6"/>
    </row>
    <row r="279">
      <c r="F279" s="6"/>
      <c r="G279" s="6"/>
    </row>
    <row r="280">
      <c r="F280" s="6"/>
      <c r="G280" s="6"/>
    </row>
    <row r="281">
      <c r="F281" s="6"/>
      <c r="G281" s="6"/>
    </row>
    <row r="282">
      <c r="F282" s="6"/>
      <c r="G282" s="6"/>
    </row>
    <row r="283">
      <c r="F283" s="6"/>
      <c r="G283" s="6"/>
    </row>
    <row r="284">
      <c r="F284" s="6"/>
      <c r="G284" s="6"/>
    </row>
    <row r="285">
      <c r="F285" s="6"/>
      <c r="G285" s="6"/>
    </row>
    <row r="286">
      <c r="F286" s="6"/>
      <c r="G286" s="6"/>
    </row>
    <row r="287">
      <c r="F287" s="6"/>
      <c r="G287" s="6"/>
    </row>
    <row r="288">
      <c r="F288" s="6"/>
      <c r="G288" s="6"/>
    </row>
    <row r="289">
      <c r="F289" s="6"/>
      <c r="G289" s="6"/>
    </row>
    <row r="290">
      <c r="F290" s="6"/>
      <c r="G290" s="6"/>
    </row>
    <row r="291">
      <c r="F291" s="6"/>
      <c r="G291" s="6"/>
    </row>
    <row r="292">
      <c r="F292" s="6"/>
      <c r="G292" s="6"/>
    </row>
    <row r="293">
      <c r="F293" s="6"/>
      <c r="G293" s="6"/>
    </row>
    <row r="294">
      <c r="F294" s="6"/>
      <c r="G294" s="6"/>
    </row>
    <row r="295">
      <c r="F295" s="6"/>
      <c r="G295" s="6"/>
    </row>
    <row r="296">
      <c r="F296" s="6"/>
      <c r="G296" s="6"/>
    </row>
    <row r="297">
      <c r="F297" s="6"/>
      <c r="G297" s="6"/>
    </row>
    <row r="298">
      <c r="F298" s="6"/>
      <c r="G298" s="6"/>
    </row>
    <row r="299">
      <c r="F299" s="6"/>
      <c r="G299" s="6"/>
    </row>
    <row r="300">
      <c r="F300" s="6"/>
      <c r="G300" s="6"/>
    </row>
    <row r="301">
      <c r="F301" s="6"/>
      <c r="G301" s="6"/>
    </row>
    <row r="302">
      <c r="F302" s="6"/>
      <c r="G302" s="6"/>
    </row>
    <row r="303">
      <c r="F303" s="6"/>
      <c r="G303" s="6"/>
    </row>
    <row r="304">
      <c r="F304" s="6"/>
      <c r="G304" s="6"/>
    </row>
    <row r="305">
      <c r="F305" s="6"/>
      <c r="G305" s="6"/>
    </row>
    <row r="306">
      <c r="F306" s="6"/>
      <c r="G306" s="6"/>
    </row>
    <row r="307">
      <c r="F307" s="6"/>
      <c r="G307" s="6"/>
    </row>
    <row r="308">
      <c r="F308" s="6"/>
      <c r="G308" s="6"/>
    </row>
    <row r="309">
      <c r="F309" s="6"/>
      <c r="G309" s="6"/>
    </row>
    <row r="310">
      <c r="F310" s="6"/>
      <c r="G310" s="6"/>
    </row>
    <row r="311">
      <c r="F311" s="6"/>
      <c r="G311" s="6"/>
    </row>
    <row r="312">
      <c r="F312" s="6"/>
      <c r="G312" s="6"/>
    </row>
    <row r="313">
      <c r="F313" s="6"/>
      <c r="G313" s="6"/>
    </row>
    <row r="314">
      <c r="F314" s="6"/>
      <c r="G314" s="6"/>
    </row>
    <row r="315">
      <c r="F315" s="6"/>
      <c r="G315" s="6"/>
    </row>
    <row r="316">
      <c r="F316" s="6"/>
      <c r="G316" s="6"/>
    </row>
    <row r="317">
      <c r="F317" s="6"/>
      <c r="G317" s="6"/>
    </row>
    <row r="318">
      <c r="F318" s="6"/>
      <c r="G318" s="6"/>
    </row>
    <row r="319">
      <c r="F319" s="6"/>
      <c r="G319" s="6"/>
    </row>
    <row r="320">
      <c r="F320" s="6"/>
      <c r="G320" s="6"/>
    </row>
    <row r="321">
      <c r="F321" s="6"/>
      <c r="G321" s="6"/>
    </row>
    <row r="322">
      <c r="F322" s="6"/>
      <c r="G322" s="6"/>
    </row>
    <row r="323">
      <c r="F323" s="6"/>
      <c r="G323" s="6"/>
    </row>
    <row r="324">
      <c r="F324" s="6"/>
      <c r="G324" s="6"/>
    </row>
    <row r="325">
      <c r="F325" s="6"/>
      <c r="G325" s="6"/>
    </row>
    <row r="326">
      <c r="F326" s="6"/>
      <c r="G326" s="6"/>
    </row>
    <row r="327">
      <c r="F327" s="6"/>
      <c r="G327" s="6"/>
    </row>
    <row r="328">
      <c r="F328" s="6"/>
      <c r="G328" s="6"/>
    </row>
    <row r="329">
      <c r="F329" s="6"/>
      <c r="G329" s="6"/>
    </row>
    <row r="330">
      <c r="F330" s="6"/>
      <c r="G330" s="6"/>
    </row>
    <row r="331">
      <c r="F331" s="6"/>
      <c r="G331" s="6"/>
    </row>
    <row r="332">
      <c r="F332" s="6"/>
      <c r="G332" s="6"/>
    </row>
    <row r="333">
      <c r="F333" s="6"/>
      <c r="G333" s="6"/>
    </row>
    <row r="334">
      <c r="F334" s="6"/>
      <c r="G334" s="6"/>
    </row>
    <row r="335">
      <c r="F335" s="6"/>
      <c r="G335" s="6"/>
    </row>
    <row r="336">
      <c r="F336" s="6"/>
      <c r="G336" s="6"/>
    </row>
    <row r="337">
      <c r="F337" s="6"/>
      <c r="G337" s="6"/>
    </row>
    <row r="338">
      <c r="F338" s="6"/>
      <c r="G338" s="6"/>
    </row>
    <row r="339">
      <c r="F339" s="6"/>
      <c r="G339" s="6"/>
    </row>
    <row r="340">
      <c r="F340" s="6"/>
      <c r="G340" s="6"/>
    </row>
    <row r="341">
      <c r="F341" s="6"/>
      <c r="G341" s="6"/>
    </row>
    <row r="342">
      <c r="F342" s="6"/>
      <c r="G342" s="6"/>
    </row>
    <row r="343">
      <c r="F343" s="6"/>
      <c r="G343" s="6"/>
    </row>
    <row r="344">
      <c r="F344" s="6"/>
      <c r="G344" s="6"/>
    </row>
    <row r="345">
      <c r="F345" s="6"/>
      <c r="G345" s="6"/>
    </row>
    <row r="346">
      <c r="F346" s="6"/>
      <c r="G346" s="6"/>
    </row>
    <row r="347">
      <c r="F347" s="6"/>
      <c r="G347" s="6"/>
    </row>
    <row r="348">
      <c r="F348" s="6"/>
      <c r="G348" s="6"/>
    </row>
    <row r="349">
      <c r="F349" s="6"/>
      <c r="G349" s="6"/>
    </row>
    <row r="350">
      <c r="F350" s="6"/>
      <c r="G350" s="6"/>
    </row>
    <row r="351">
      <c r="F351" s="6"/>
      <c r="G351" s="6"/>
    </row>
    <row r="352">
      <c r="F352" s="6"/>
      <c r="G352" s="6"/>
    </row>
    <row r="353">
      <c r="F353" s="6"/>
      <c r="G353" s="6"/>
    </row>
    <row r="354">
      <c r="F354" s="6"/>
      <c r="G354" s="6"/>
    </row>
    <row r="355">
      <c r="F355" s="6"/>
      <c r="G355" s="6"/>
    </row>
    <row r="356">
      <c r="F356" s="6"/>
      <c r="G356" s="6"/>
    </row>
    <row r="357">
      <c r="F357" s="6"/>
      <c r="G357" s="6"/>
    </row>
    <row r="358">
      <c r="F358" s="6"/>
      <c r="G358" s="6"/>
    </row>
    <row r="359">
      <c r="F359" s="6"/>
      <c r="G359" s="6"/>
    </row>
    <row r="360">
      <c r="F360" s="6"/>
      <c r="G360" s="6"/>
    </row>
    <row r="361">
      <c r="F361" s="6"/>
      <c r="G361" s="6"/>
    </row>
    <row r="362">
      <c r="F362" s="6"/>
      <c r="G362" s="6"/>
    </row>
    <row r="363">
      <c r="F363" s="6"/>
      <c r="G363" s="6"/>
    </row>
    <row r="364">
      <c r="F364" s="6"/>
      <c r="G364" s="6"/>
    </row>
    <row r="365">
      <c r="F365" s="6"/>
      <c r="G365" s="6"/>
    </row>
    <row r="366">
      <c r="F366" s="6"/>
      <c r="G366" s="6"/>
    </row>
    <row r="367">
      <c r="F367" s="6"/>
      <c r="G367" s="6"/>
    </row>
    <row r="368">
      <c r="F368" s="6"/>
      <c r="G368" s="6"/>
    </row>
    <row r="369">
      <c r="F369" s="6"/>
      <c r="G369" s="6"/>
    </row>
    <row r="370">
      <c r="F370" s="6"/>
      <c r="G370" s="6"/>
    </row>
    <row r="371">
      <c r="F371" s="6"/>
      <c r="G371" s="6"/>
    </row>
    <row r="372">
      <c r="F372" s="6"/>
      <c r="G372" s="6"/>
    </row>
    <row r="373">
      <c r="F373" s="6"/>
      <c r="G373" s="6"/>
    </row>
    <row r="374">
      <c r="F374" s="6"/>
      <c r="G374" s="6"/>
    </row>
    <row r="375">
      <c r="F375" s="6"/>
      <c r="G375" s="6"/>
    </row>
    <row r="376">
      <c r="F376" s="6"/>
      <c r="G376" s="6"/>
    </row>
    <row r="377">
      <c r="F377" s="6"/>
      <c r="G377" s="6"/>
    </row>
    <row r="378">
      <c r="F378" s="6"/>
      <c r="G378" s="6"/>
    </row>
    <row r="379">
      <c r="F379" s="6"/>
      <c r="G379" s="6"/>
    </row>
    <row r="380">
      <c r="F380" s="6"/>
      <c r="G380" s="6"/>
    </row>
    <row r="381">
      <c r="F381" s="6"/>
      <c r="G381" s="6"/>
    </row>
    <row r="382">
      <c r="F382" s="6"/>
      <c r="G382" s="6"/>
    </row>
    <row r="383">
      <c r="F383" s="6"/>
      <c r="G383" s="6"/>
    </row>
    <row r="384">
      <c r="F384" s="6"/>
      <c r="G384" s="6"/>
    </row>
    <row r="385">
      <c r="F385" s="6"/>
      <c r="G385" s="6"/>
    </row>
    <row r="386">
      <c r="F386" s="6"/>
      <c r="G386" s="6"/>
    </row>
    <row r="387">
      <c r="F387" s="6"/>
      <c r="G387" s="6"/>
    </row>
    <row r="388">
      <c r="F388" s="6"/>
      <c r="G388" s="6"/>
    </row>
    <row r="389">
      <c r="F389" s="6"/>
      <c r="G389" s="6"/>
    </row>
    <row r="390">
      <c r="F390" s="6"/>
      <c r="G390" s="6"/>
    </row>
    <row r="391">
      <c r="F391" s="6"/>
      <c r="G391" s="6"/>
    </row>
    <row r="392">
      <c r="F392" s="6"/>
      <c r="G392" s="6"/>
    </row>
    <row r="393">
      <c r="F393" s="6"/>
      <c r="G393" s="6"/>
    </row>
    <row r="394">
      <c r="F394" s="6"/>
      <c r="G394" s="6"/>
    </row>
    <row r="395">
      <c r="F395" s="6"/>
      <c r="G395" s="6"/>
    </row>
    <row r="396">
      <c r="F396" s="6"/>
      <c r="G396" s="6"/>
    </row>
    <row r="397">
      <c r="F397" s="6"/>
      <c r="G397" s="6"/>
    </row>
    <row r="398">
      <c r="F398" s="6"/>
      <c r="G398" s="6"/>
    </row>
    <row r="399">
      <c r="F399" s="6"/>
      <c r="G399" s="6"/>
    </row>
    <row r="400">
      <c r="F400" s="6"/>
      <c r="G400" s="6"/>
    </row>
    <row r="401">
      <c r="F401" s="6"/>
      <c r="G401" s="6"/>
    </row>
    <row r="402">
      <c r="F402" s="6"/>
      <c r="G402" s="6"/>
    </row>
    <row r="403">
      <c r="F403" s="6"/>
      <c r="G403" s="6"/>
    </row>
    <row r="404">
      <c r="F404" s="6"/>
      <c r="G404" s="6"/>
    </row>
    <row r="405">
      <c r="F405" s="6"/>
      <c r="G405" s="6"/>
    </row>
    <row r="406">
      <c r="F406" s="6"/>
      <c r="G406" s="6"/>
    </row>
    <row r="407">
      <c r="F407" s="6"/>
      <c r="G407" s="6"/>
    </row>
    <row r="408">
      <c r="F408" s="6"/>
      <c r="G408" s="6"/>
    </row>
    <row r="409">
      <c r="F409" s="6"/>
      <c r="G409" s="6"/>
    </row>
    <row r="410">
      <c r="F410" s="6"/>
      <c r="G410" s="6"/>
    </row>
    <row r="411">
      <c r="F411" s="6"/>
      <c r="G411" s="6"/>
    </row>
    <row r="412">
      <c r="F412" s="6"/>
      <c r="G412" s="6"/>
    </row>
    <row r="413">
      <c r="F413" s="6"/>
      <c r="G413" s="6"/>
    </row>
    <row r="414">
      <c r="F414" s="6"/>
      <c r="G414" s="6"/>
    </row>
    <row r="415">
      <c r="F415" s="6"/>
      <c r="G415" s="6"/>
    </row>
    <row r="416">
      <c r="F416" s="6"/>
      <c r="G416" s="6"/>
    </row>
    <row r="417">
      <c r="F417" s="6"/>
      <c r="G417" s="6"/>
    </row>
    <row r="418">
      <c r="F418" s="6"/>
      <c r="G418" s="6"/>
    </row>
    <row r="419">
      <c r="F419" s="6"/>
      <c r="G419" s="6"/>
    </row>
    <row r="420">
      <c r="F420" s="6"/>
      <c r="G420" s="6"/>
    </row>
    <row r="421">
      <c r="F421" s="6"/>
      <c r="G421" s="6"/>
    </row>
    <row r="422">
      <c r="F422" s="6"/>
      <c r="G422" s="6"/>
    </row>
    <row r="423">
      <c r="F423" s="6"/>
      <c r="G423" s="6"/>
    </row>
    <row r="424">
      <c r="F424" s="6"/>
      <c r="G424" s="6"/>
    </row>
    <row r="425">
      <c r="F425" s="6"/>
      <c r="G425" s="6"/>
    </row>
    <row r="426">
      <c r="F426" s="6"/>
      <c r="G426" s="6"/>
    </row>
    <row r="427">
      <c r="F427" s="6"/>
      <c r="G427" s="6"/>
    </row>
    <row r="428">
      <c r="F428" s="6"/>
      <c r="G428" s="6"/>
    </row>
    <row r="429">
      <c r="F429" s="6"/>
      <c r="G429" s="6"/>
    </row>
    <row r="430">
      <c r="F430" s="6"/>
      <c r="G430" s="6"/>
    </row>
    <row r="431">
      <c r="F431" s="6"/>
      <c r="G431" s="6"/>
    </row>
    <row r="432">
      <c r="F432" s="6"/>
      <c r="G432" s="6"/>
    </row>
    <row r="433">
      <c r="F433" s="6"/>
      <c r="G433" s="6"/>
    </row>
    <row r="434">
      <c r="F434" s="6"/>
      <c r="G434" s="6"/>
    </row>
    <row r="435">
      <c r="F435" s="6"/>
      <c r="G435" s="6"/>
    </row>
    <row r="436">
      <c r="F436" s="6"/>
      <c r="G436" s="6"/>
    </row>
    <row r="437">
      <c r="F437" s="6"/>
      <c r="G437" s="6"/>
    </row>
    <row r="438">
      <c r="F438" s="6"/>
      <c r="G438" s="6"/>
    </row>
    <row r="439">
      <c r="F439" s="6"/>
      <c r="G439" s="6"/>
    </row>
    <row r="440">
      <c r="F440" s="6"/>
      <c r="G440" s="6"/>
    </row>
    <row r="441">
      <c r="F441" s="6"/>
      <c r="G441" s="6"/>
    </row>
    <row r="442">
      <c r="F442" s="6"/>
      <c r="G442" s="6"/>
    </row>
    <row r="443">
      <c r="F443" s="6"/>
      <c r="G443" s="6"/>
    </row>
    <row r="444">
      <c r="F444" s="6"/>
      <c r="G444" s="6"/>
    </row>
    <row r="445">
      <c r="F445" s="6"/>
      <c r="G445" s="6"/>
    </row>
    <row r="446">
      <c r="F446" s="6"/>
      <c r="G446" s="6"/>
    </row>
    <row r="447">
      <c r="F447" s="6"/>
      <c r="G447" s="6"/>
    </row>
    <row r="448">
      <c r="F448" s="6"/>
      <c r="G448" s="6"/>
    </row>
    <row r="449">
      <c r="F449" s="6"/>
      <c r="G449" s="6"/>
    </row>
    <row r="450">
      <c r="F450" s="6"/>
      <c r="G450" s="6"/>
    </row>
    <row r="451">
      <c r="F451" s="6"/>
      <c r="G451" s="6"/>
    </row>
    <row r="452">
      <c r="F452" s="6"/>
      <c r="G452" s="6"/>
    </row>
    <row r="453">
      <c r="F453" s="6"/>
      <c r="G453" s="6"/>
    </row>
    <row r="454">
      <c r="F454" s="6"/>
      <c r="G454" s="6"/>
    </row>
    <row r="455">
      <c r="F455" s="6"/>
      <c r="G455" s="6"/>
    </row>
    <row r="456">
      <c r="F456" s="6"/>
      <c r="G456" s="6"/>
    </row>
    <row r="457">
      <c r="F457" s="6"/>
      <c r="G457" s="6"/>
    </row>
    <row r="458">
      <c r="F458" s="6"/>
      <c r="G458" s="6"/>
    </row>
    <row r="459">
      <c r="F459" s="6"/>
      <c r="G459" s="6"/>
    </row>
    <row r="460">
      <c r="F460" s="6"/>
      <c r="G460" s="6"/>
    </row>
    <row r="461">
      <c r="F461" s="6"/>
      <c r="G461" s="6"/>
    </row>
    <row r="462">
      <c r="F462" s="6"/>
      <c r="G462" s="6"/>
    </row>
    <row r="463">
      <c r="F463" s="6"/>
      <c r="G463" s="6"/>
    </row>
    <row r="464">
      <c r="F464" s="6"/>
      <c r="G464" s="6"/>
    </row>
    <row r="465">
      <c r="F465" s="6"/>
      <c r="G465" s="6"/>
    </row>
    <row r="466">
      <c r="F466" s="6"/>
      <c r="G466" s="6"/>
    </row>
    <row r="467">
      <c r="F467" s="6"/>
      <c r="G467" s="6"/>
    </row>
    <row r="468">
      <c r="F468" s="6"/>
      <c r="G468" s="6"/>
    </row>
    <row r="469">
      <c r="F469" s="6"/>
      <c r="G469" s="6"/>
    </row>
    <row r="470">
      <c r="F470" s="6"/>
      <c r="G470" s="6"/>
    </row>
    <row r="471">
      <c r="F471" s="6"/>
      <c r="G471" s="6"/>
    </row>
    <row r="472">
      <c r="F472" s="6"/>
      <c r="G472" s="6"/>
    </row>
    <row r="473">
      <c r="F473" s="6"/>
      <c r="G473" s="6"/>
    </row>
    <row r="474">
      <c r="F474" s="6"/>
      <c r="G474" s="6"/>
    </row>
    <row r="475">
      <c r="F475" s="6"/>
      <c r="G475" s="6"/>
    </row>
    <row r="476">
      <c r="F476" s="6"/>
      <c r="G476" s="6"/>
    </row>
    <row r="477">
      <c r="F477" s="6"/>
      <c r="G477" s="6"/>
    </row>
    <row r="478">
      <c r="F478" s="6"/>
      <c r="G478" s="6"/>
    </row>
    <row r="479">
      <c r="F479" s="6"/>
      <c r="G479" s="6"/>
    </row>
    <row r="480">
      <c r="F480" s="6"/>
      <c r="G480" s="6"/>
    </row>
    <row r="481">
      <c r="F481" s="6"/>
      <c r="G481" s="6"/>
    </row>
    <row r="482">
      <c r="F482" s="6"/>
      <c r="G482" s="6"/>
    </row>
    <row r="483">
      <c r="F483" s="6"/>
      <c r="G483" s="6"/>
    </row>
    <row r="484">
      <c r="F484" s="6"/>
      <c r="G484" s="6"/>
    </row>
    <row r="485">
      <c r="F485" s="6"/>
      <c r="G485" s="6"/>
    </row>
    <row r="486">
      <c r="F486" s="6"/>
      <c r="G486" s="6"/>
    </row>
    <row r="487">
      <c r="F487" s="6"/>
      <c r="G487" s="6"/>
    </row>
    <row r="488">
      <c r="F488" s="6"/>
      <c r="G488" s="6"/>
    </row>
    <row r="489">
      <c r="F489" s="6"/>
      <c r="G489" s="6"/>
    </row>
    <row r="490">
      <c r="F490" s="6"/>
      <c r="G490" s="6"/>
    </row>
    <row r="491">
      <c r="F491" s="6"/>
      <c r="G491" s="6"/>
    </row>
    <row r="492">
      <c r="F492" s="6"/>
      <c r="G492" s="6"/>
    </row>
    <row r="493">
      <c r="F493" s="6"/>
      <c r="G493" s="6"/>
    </row>
    <row r="494">
      <c r="F494" s="6"/>
      <c r="G494" s="6"/>
    </row>
    <row r="495">
      <c r="F495" s="6"/>
      <c r="G495" s="6"/>
    </row>
    <row r="496">
      <c r="F496" s="6"/>
      <c r="G496" s="6"/>
    </row>
    <row r="497">
      <c r="F497" s="6"/>
      <c r="G497" s="6"/>
    </row>
    <row r="498">
      <c r="F498" s="6"/>
      <c r="G498" s="6"/>
    </row>
    <row r="499">
      <c r="F499" s="6"/>
      <c r="G499" s="6"/>
    </row>
    <row r="500">
      <c r="F500" s="6"/>
      <c r="G500" s="6"/>
    </row>
    <row r="501">
      <c r="F501" s="6"/>
      <c r="G501" s="6"/>
    </row>
    <row r="502">
      <c r="F502" s="6"/>
      <c r="G502" s="6"/>
    </row>
    <row r="503">
      <c r="F503" s="6"/>
      <c r="G503" s="6"/>
    </row>
    <row r="504">
      <c r="F504" s="6"/>
      <c r="G504" s="6"/>
    </row>
    <row r="505">
      <c r="F505" s="6"/>
      <c r="G505" s="6"/>
    </row>
    <row r="506">
      <c r="F506" s="6"/>
      <c r="G506" s="6"/>
    </row>
    <row r="507">
      <c r="F507" s="6"/>
      <c r="G507" s="6"/>
    </row>
    <row r="508">
      <c r="F508" s="6"/>
      <c r="G508" s="6"/>
    </row>
    <row r="509">
      <c r="F509" s="6"/>
      <c r="G509" s="6"/>
    </row>
    <row r="510">
      <c r="F510" s="6"/>
      <c r="G510" s="6"/>
    </row>
    <row r="511">
      <c r="F511" s="6"/>
      <c r="G511" s="6"/>
    </row>
    <row r="512">
      <c r="F512" s="6"/>
      <c r="G512" s="6"/>
    </row>
    <row r="513">
      <c r="F513" s="6"/>
      <c r="G513" s="6"/>
    </row>
    <row r="514">
      <c r="F514" s="6"/>
      <c r="G514" s="6"/>
    </row>
    <row r="515">
      <c r="F515" s="6"/>
      <c r="G515" s="6"/>
    </row>
    <row r="516">
      <c r="F516" s="6"/>
      <c r="G516" s="6"/>
    </row>
    <row r="517">
      <c r="F517" s="6"/>
      <c r="G517" s="6"/>
    </row>
    <row r="518">
      <c r="F518" s="6"/>
      <c r="G518" s="6"/>
    </row>
    <row r="519">
      <c r="F519" s="6"/>
      <c r="G519" s="6"/>
    </row>
    <row r="520">
      <c r="F520" s="6"/>
      <c r="G520" s="6"/>
    </row>
    <row r="521">
      <c r="F521" s="6"/>
      <c r="G521" s="6"/>
    </row>
    <row r="522">
      <c r="F522" s="6"/>
      <c r="G522" s="6"/>
    </row>
    <row r="523">
      <c r="F523" s="6"/>
      <c r="G523" s="6"/>
    </row>
    <row r="524">
      <c r="F524" s="6"/>
      <c r="G524" s="6"/>
    </row>
    <row r="525">
      <c r="F525" s="6"/>
      <c r="G525" s="6"/>
    </row>
    <row r="526">
      <c r="F526" s="6"/>
      <c r="G526" s="6"/>
    </row>
    <row r="527">
      <c r="F527" s="6"/>
      <c r="G527" s="6"/>
    </row>
    <row r="528">
      <c r="F528" s="6"/>
      <c r="G528" s="6"/>
    </row>
    <row r="529">
      <c r="F529" s="6"/>
      <c r="G529" s="6"/>
    </row>
    <row r="530">
      <c r="F530" s="6"/>
      <c r="G530" s="6"/>
    </row>
    <row r="531">
      <c r="F531" s="6"/>
      <c r="G531" s="6"/>
    </row>
    <row r="532">
      <c r="F532" s="6"/>
      <c r="G532" s="6"/>
    </row>
    <row r="533">
      <c r="F533" s="6"/>
      <c r="G533" s="6"/>
    </row>
    <row r="534">
      <c r="F534" s="6"/>
      <c r="G534" s="6"/>
    </row>
    <row r="535">
      <c r="F535" s="6"/>
      <c r="G535" s="6"/>
    </row>
    <row r="536">
      <c r="F536" s="6"/>
      <c r="G536" s="6"/>
    </row>
    <row r="537">
      <c r="F537" s="6"/>
      <c r="G537" s="6"/>
    </row>
    <row r="538">
      <c r="F538" s="6"/>
      <c r="G538" s="6"/>
    </row>
    <row r="539">
      <c r="F539" s="6"/>
      <c r="G539" s="6"/>
    </row>
    <row r="540">
      <c r="F540" s="6"/>
      <c r="G540" s="6"/>
    </row>
    <row r="541">
      <c r="F541" s="6"/>
      <c r="G541" s="6"/>
    </row>
    <row r="542">
      <c r="F542" s="6"/>
      <c r="G542" s="6"/>
    </row>
    <row r="543">
      <c r="F543" s="6"/>
      <c r="G543" s="6"/>
    </row>
    <row r="544">
      <c r="F544" s="6"/>
      <c r="G544" s="6"/>
    </row>
    <row r="545">
      <c r="F545" s="6"/>
      <c r="G545" s="6"/>
    </row>
    <row r="546">
      <c r="F546" s="6"/>
      <c r="G546" s="6"/>
    </row>
    <row r="547">
      <c r="F547" s="6"/>
      <c r="G547" s="6"/>
    </row>
    <row r="548">
      <c r="F548" s="6"/>
      <c r="G548" s="6"/>
    </row>
    <row r="549">
      <c r="F549" s="6"/>
      <c r="G549" s="6"/>
    </row>
    <row r="550">
      <c r="F550" s="6"/>
      <c r="G550" s="6"/>
    </row>
    <row r="551">
      <c r="F551" s="6"/>
      <c r="G551" s="6"/>
    </row>
    <row r="552">
      <c r="F552" s="6"/>
      <c r="G552" s="6"/>
    </row>
    <row r="553">
      <c r="F553" s="6"/>
      <c r="G553" s="6"/>
    </row>
    <row r="554">
      <c r="F554" s="6"/>
      <c r="G554" s="6"/>
    </row>
    <row r="555">
      <c r="F555" s="6"/>
      <c r="G555" s="6"/>
    </row>
    <row r="556">
      <c r="F556" s="6"/>
      <c r="G556" s="6"/>
    </row>
    <row r="557">
      <c r="F557" s="6"/>
      <c r="G557" s="6"/>
    </row>
    <row r="558">
      <c r="F558" s="6"/>
      <c r="G558" s="6"/>
    </row>
    <row r="559">
      <c r="F559" s="6"/>
      <c r="G559" s="6"/>
    </row>
    <row r="560">
      <c r="F560" s="6"/>
      <c r="G560" s="6"/>
    </row>
    <row r="561">
      <c r="F561" s="6"/>
      <c r="G561" s="6"/>
    </row>
    <row r="562">
      <c r="F562" s="6"/>
      <c r="G562" s="6"/>
    </row>
    <row r="563">
      <c r="F563" s="6"/>
      <c r="G563" s="6"/>
    </row>
    <row r="564">
      <c r="F564" s="6"/>
      <c r="G564" s="6"/>
    </row>
    <row r="565">
      <c r="F565" s="6"/>
      <c r="G565" s="6"/>
    </row>
    <row r="566">
      <c r="F566" s="6"/>
      <c r="G566" s="6"/>
    </row>
    <row r="567">
      <c r="F567" s="6"/>
      <c r="G567" s="6"/>
    </row>
    <row r="568">
      <c r="F568" s="6"/>
      <c r="G568" s="6"/>
    </row>
    <row r="569">
      <c r="F569" s="6"/>
      <c r="G569" s="6"/>
    </row>
    <row r="570">
      <c r="F570" s="6"/>
      <c r="G570" s="6"/>
    </row>
    <row r="571">
      <c r="F571" s="6"/>
      <c r="G571" s="6"/>
    </row>
    <row r="572">
      <c r="F572" s="6"/>
      <c r="G572" s="6"/>
    </row>
    <row r="573">
      <c r="F573" s="6"/>
      <c r="G573" s="6"/>
    </row>
    <row r="574">
      <c r="F574" s="6"/>
      <c r="G574" s="6"/>
    </row>
    <row r="575">
      <c r="F575" s="6"/>
      <c r="G575" s="6"/>
    </row>
    <row r="576">
      <c r="F576" s="6"/>
      <c r="G576" s="6"/>
    </row>
    <row r="577">
      <c r="F577" s="6"/>
      <c r="G577" s="6"/>
    </row>
    <row r="578">
      <c r="F578" s="6"/>
      <c r="G578" s="6"/>
    </row>
    <row r="579">
      <c r="F579" s="6"/>
      <c r="G579" s="6"/>
    </row>
    <row r="580">
      <c r="F580" s="6"/>
      <c r="G580" s="6"/>
    </row>
    <row r="581">
      <c r="F581" s="6"/>
      <c r="G581" s="6"/>
    </row>
    <row r="582">
      <c r="F582" s="6"/>
      <c r="G582" s="6"/>
    </row>
    <row r="583">
      <c r="F583" s="6"/>
      <c r="G583" s="6"/>
    </row>
    <row r="584">
      <c r="F584" s="6"/>
      <c r="G584" s="6"/>
    </row>
    <row r="585">
      <c r="F585" s="6"/>
      <c r="G585" s="6"/>
    </row>
    <row r="586">
      <c r="F586" s="6"/>
      <c r="G586" s="6"/>
    </row>
    <row r="587">
      <c r="F587" s="6"/>
      <c r="G587" s="6"/>
    </row>
    <row r="588">
      <c r="F588" s="6"/>
      <c r="G588" s="6"/>
    </row>
    <row r="589">
      <c r="F589" s="6"/>
      <c r="G589" s="6"/>
    </row>
    <row r="590">
      <c r="F590" s="6"/>
      <c r="G590" s="6"/>
    </row>
    <row r="591">
      <c r="F591" s="6"/>
      <c r="G591" s="6"/>
    </row>
    <row r="592">
      <c r="F592" s="6"/>
      <c r="G592" s="6"/>
    </row>
    <row r="593">
      <c r="F593" s="6"/>
      <c r="G593" s="6"/>
    </row>
    <row r="594">
      <c r="F594" s="6"/>
      <c r="G594" s="6"/>
    </row>
    <row r="595">
      <c r="F595" s="6"/>
      <c r="G595" s="6"/>
    </row>
    <row r="596">
      <c r="F596" s="6"/>
      <c r="G596" s="6"/>
    </row>
    <row r="597">
      <c r="F597" s="6"/>
      <c r="G597" s="6"/>
    </row>
    <row r="598">
      <c r="F598" s="6"/>
      <c r="G598" s="6"/>
    </row>
    <row r="599">
      <c r="F599" s="6"/>
      <c r="G599" s="6"/>
    </row>
    <row r="600">
      <c r="F600" s="6"/>
      <c r="G600" s="6"/>
    </row>
    <row r="601">
      <c r="F601" s="6"/>
      <c r="G601" s="6"/>
    </row>
    <row r="602">
      <c r="F602" s="6"/>
      <c r="G602" s="6"/>
    </row>
    <row r="603">
      <c r="F603" s="6"/>
      <c r="G603" s="6"/>
    </row>
    <row r="604">
      <c r="F604" s="6"/>
      <c r="G604" s="6"/>
    </row>
    <row r="605">
      <c r="F605" s="6"/>
      <c r="G605" s="6"/>
    </row>
    <row r="606">
      <c r="F606" s="6"/>
      <c r="G606" s="6"/>
    </row>
    <row r="607">
      <c r="F607" s="6"/>
      <c r="G607" s="6"/>
    </row>
    <row r="608">
      <c r="F608" s="6"/>
      <c r="G608" s="6"/>
    </row>
    <row r="609">
      <c r="F609" s="6"/>
      <c r="G609" s="6"/>
    </row>
    <row r="610">
      <c r="F610" s="6"/>
      <c r="G610" s="6"/>
    </row>
    <row r="611">
      <c r="F611" s="6"/>
      <c r="G611" s="6"/>
    </row>
    <row r="612">
      <c r="F612" s="6"/>
      <c r="G612" s="6"/>
    </row>
    <row r="613">
      <c r="F613" s="6"/>
      <c r="G613" s="6"/>
    </row>
    <row r="614">
      <c r="F614" s="6"/>
      <c r="G614" s="6"/>
    </row>
    <row r="615">
      <c r="F615" s="6"/>
      <c r="G615" s="6"/>
    </row>
    <row r="616">
      <c r="F616" s="6"/>
      <c r="G616" s="6"/>
    </row>
    <row r="617">
      <c r="F617" s="6"/>
      <c r="G617" s="6"/>
    </row>
    <row r="618">
      <c r="F618" s="6"/>
      <c r="G618" s="6"/>
    </row>
    <row r="619">
      <c r="F619" s="6"/>
      <c r="G619" s="6"/>
    </row>
    <row r="620">
      <c r="F620" s="6"/>
      <c r="G620" s="6"/>
    </row>
    <row r="621">
      <c r="F621" s="6"/>
      <c r="G621" s="6"/>
    </row>
    <row r="622">
      <c r="F622" s="6"/>
      <c r="G622" s="6"/>
    </row>
    <row r="623">
      <c r="F623" s="6"/>
      <c r="G623" s="6"/>
    </row>
    <row r="624">
      <c r="F624" s="6"/>
      <c r="G624" s="6"/>
    </row>
    <row r="625">
      <c r="F625" s="6"/>
      <c r="G625" s="6"/>
    </row>
    <row r="626">
      <c r="F626" s="6"/>
      <c r="G626" s="6"/>
    </row>
    <row r="627">
      <c r="F627" s="6"/>
      <c r="G627" s="6"/>
    </row>
    <row r="628">
      <c r="F628" s="6"/>
      <c r="G628" s="6"/>
    </row>
    <row r="629">
      <c r="F629" s="6"/>
      <c r="G629" s="6"/>
    </row>
    <row r="630">
      <c r="F630" s="6"/>
      <c r="G630" s="6"/>
    </row>
    <row r="631">
      <c r="F631" s="6"/>
      <c r="G631" s="6"/>
    </row>
    <row r="632">
      <c r="F632" s="6"/>
      <c r="G632" s="6"/>
    </row>
    <row r="633">
      <c r="F633" s="6"/>
      <c r="G633" s="6"/>
    </row>
    <row r="634">
      <c r="F634" s="6"/>
      <c r="G634" s="6"/>
    </row>
    <row r="635">
      <c r="F635" s="6"/>
      <c r="G635" s="6"/>
    </row>
    <row r="636">
      <c r="F636" s="6"/>
      <c r="G636" s="6"/>
    </row>
    <row r="637">
      <c r="F637" s="6"/>
      <c r="G637" s="6"/>
    </row>
    <row r="638">
      <c r="F638" s="6"/>
      <c r="G638" s="6"/>
    </row>
    <row r="639">
      <c r="F639" s="6"/>
      <c r="G639" s="6"/>
    </row>
    <row r="640">
      <c r="F640" s="6"/>
      <c r="G640" s="6"/>
    </row>
    <row r="641">
      <c r="F641" s="6"/>
      <c r="G641" s="6"/>
    </row>
    <row r="642">
      <c r="F642" s="6"/>
      <c r="G642" s="6"/>
    </row>
    <row r="643">
      <c r="F643" s="6"/>
      <c r="G643" s="6"/>
    </row>
    <row r="644">
      <c r="F644" s="6"/>
      <c r="G644" s="6"/>
    </row>
    <row r="645">
      <c r="F645" s="6"/>
      <c r="G645" s="6"/>
    </row>
    <row r="646">
      <c r="F646" s="6"/>
      <c r="G646" s="6"/>
    </row>
    <row r="647">
      <c r="F647" s="6"/>
      <c r="G647" s="6"/>
    </row>
    <row r="648">
      <c r="F648" s="6"/>
      <c r="G648" s="6"/>
    </row>
    <row r="649">
      <c r="F649" s="6"/>
      <c r="G649" s="6"/>
    </row>
    <row r="650">
      <c r="F650" s="6"/>
      <c r="G650" s="6"/>
    </row>
    <row r="651">
      <c r="F651" s="6"/>
      <c r="G651" s="6"/>
    </row>
    <row r="652">
      <c r="F652" s="6"/>
      <c r="G652" s="6"/>
    </row>
    <row r="653">
      <c r="F653" s="6"/>
      <c r="G653" s="6"/>
    </row>
    <row r="654">
      <c r="F654" s="6"/>
      <c r="G654" s="6"/>
    </row>
    <row r="655">
      <c r="F655" s="6"/>
      <c r="G655" s="6"/>
    </row>
    <row r="656">
      <c r="F656" s="6"/>
      <c r="G656" s="6"/>
    </row>
    <row r="657">
      <c r="F657" s="6"/>
      <c r="G657" s="6"/>
    </row>
    <row r="658">
      <c r="F658" s="6"/>
      <c r="G658" s="6"/>
    </row>
    <row r="659">
      <c r="F659" s="6"/>
      <c r="G659" s="6"/>
    </row>
    <row r="660">
      <c r="F660" s="6"/>
      <c r="G660" s="6"/>
    </row>
    <row r="661">
      <c r="F661" s="6"/>
      <c r="G661" s="6"/>
    </row>
    <row r="662">
      <c r="F662" s="6"/>
      <c r="G662" s="6"/>
    </row>
    <row r="663">
      <c r="F663" s="6"/>
      <c r="G663" s="6"/>
    </row>
    <row r="664">
      <c r="F664" s="6"/>
      <c r="G664" s="6"/>
    </row>
    <row r="665">
      <c r="F665" s="6"/>
      <c r="G665" s="6"/>
    </row>
    <row r="666">
      <c r="F666" s="6"/>
      <c r="G666" s="6"/>
    </row>
    <row r="667">
      <c r="F667" s="6"/>
      <c r="G667" s="6"/>
    </row>
    <row r="668">
      <c r="F668" s="6"/>
      <c r="G668" s="6"/>
    </row>
    <row r="669">
      <c r="F669" s="6"/>
      <c r="G669" s="6"/>
    </row>
    <row r="670">
      <c r="F670" s="6"/>
      <c r="G670" s="6"/>
    </row>
    <row r="671">
      <c r="F671" s="6"/>
      <c r="G671" s="6"/>
    </row>
    <row r="672">
      <c r="F672" s="6"/>
      <c r="G672" s="6"/>
    </row>
    <row r="673">
      <c r="F673" s="6"/>
      <c r="G673" s="6"/>
    </row>
    <row r="674">
      <c r="F674" s="6"/>
      <c r="G674" s="6"/>
    </row>
    <row r="675">
      <c r="F675" s="6"/>
      <c r="G675" s="6"/>
    </row>
    <row r="676">
      <c r="F676" s="6"/>
      <c r="G676" s="6"/>
    </row>
    <row r="677">
      <c r="F677" s="6"/>
      <c r="G677" s="6"/>
    </row>
    <row r="678">
      <c r="F678" s="6"/>
      <c r="G678" s="6"/>
    </row>
    <row r="679">
      <c r="F679" s="6"/>
      <c r="G679" s="6"/>
    </row>
    <row r="680">
      <c r="F680" s="6"/>
      <c r="G680" s="6"/>
    </row>
    <row r="681">
      <c r="F681" s="6"/>
      <c r="G681" s="6"/>
    </row>
    <row r="682">
      <c r="F682" s="6"/>
      <c r="G682" s="6"/>
    </row>
    <row r="683">
      <c r="F683" s="6"/>
      <c r="G683" s="6"/>
    </row>
    <row r="684">
      <c r="F684" s="6"/>
      <c r="G684" s="6"/>
    </row>
    <row r="685">
      <c r="F685" s="6"/>
      <c r="G685" s="6"/>
    </row>
    <row r="686">
      <c r="F686" s="6"/>
      <c r="G686" s="6"/>
    </row>
    <row r="687">
      <c r="F687" s="6"/>
      <c r="G687" s="6"/>
    </row>
    <row r="688">
      <c r="F688" s="6"/>
      <c r="G688" s="6"/>
    </row>
    <row r="689">
      <c r="F689" s="6"/>
      <c r="G689" s="6"/>
    </row>
    <row r="690">
      <c r="F690" s="6"/>
      <c r="G690" s="6"/>
    </row>
    <row r="691">
      <c r="F691" s="6"/>
      <c r="G691" s="6"/>
    </row>
    <row r="692">
      <c r="F692" s="6"/>
      <c r="G692" s="6"/>
    </row>
    <row r="693">
      <c r="F693" s="6"/>
      <c r="G693" s="6"/>
    </row>
    <row r="694">
      <c r="F694" s="6"/>
      <c r="G694" s="6"/>
    </row>
    <row r="695">
      <c r="F695" s="6"/>
      <c r="G695" s="6"/>
    </row>
    <row r="696">
      <c r="F696" s="6"/>
      <c r="G696" s="6"/>
    </row>
    <row r="697">
      <c r="F697" s="6"/>
      <c r="G697" s="6"/>
    </row>
    <row r="698">
      <c r="F698" s="6"/>
      <c r="G698" s="6"/>
    </row>
    <row r="699">
      <c r="F699" s="6"/>
      <c r="G699" s="6"/>
    </row>
    <row r="700">
      <c r="F700" s="6"/>
      <c r="G700" s="6"/>
    </row>
    <row r="701">
      <c r="F701" s="6"/>
      <c r="G701" s="6"/>
    </row>
    <row r="702">
      <c r="F702" s="6"/>
      <c r="G702" s="6"/>
    </row>
    <row r="703">
      <c r="F703" s="6"/>
      <c r="G703" s="6"/>
    </row>
    <row r="704">
      <c r="F704" s="6"/>
      <c r="G704" s="6"/>
    </row>
    <row r="705">
      <c r="F705" s="6"/>
      <c r="G705" s="6"/>
    </row>
    <row r="706">
      <c r="F706" s="6"/>
      <c r="G706" s="6"/>
    </row>
    <row r="707">
      <c r="F707" s="6"/>
      <c r="G707" s="6"/>
    </row>
    <row r="708">
      <c r="F708" s="6"/>
      <c r="G708" s="6"/>
    </row>
    <row r="709">
      <c r="F709" s="6"/>
      <c r="G709" s="6"/>
    </row>
    <row r="710">
      <c r="F710" s="6"/>
      <c r="G710" s="6"/>
    </row>
    <row r="711">
      <c r="F711" s="6"/>
      <c r="G711" s="6"/>
    </row>
    <row r="712">
      <c r="F712" s="6"/>
      <c r="G712" s="6"/>
    </row>
    <row r="713">
      <c r="F713" s="6"/>
      <c r="G713" s="6"/>
    </row>
    <row r="714">
      <c r="F714" s="6"/>
      <c r="G714" s="6"/>
    </row>
    <row r="715">
      <c r="F715" s="6"/>
      <c r="G715" s="6"/>
    </row>
    <row r="716">
      <c r="F716" s="6"/>
      <c r="G716" s="6"/>
    </row>
    <row r="717">
      <c r="F717" s="6"/>
      <c r="G717" s="6"/>
    </row>
    <row r="718">
      <c r="F718" s="6"/>
      <c r="G718" s="6"/>
    </row>
    <row r="719">
      <c r="F719" s="6"/>
      <c r="G719" s="6"/>
    </row>
    <row r="720">
      <c r="F720" s="6"/>
      <c r="G720" s="6"/>
    </row>
    <row r="721">
      <c r="F721" s="6"/>
      <c r="G721" s="6"/>
    </row>
    <row r="722">
      <c r="F722" s="6"/>
      <c r="G722" s="6"/>
    </row>
    <row r="723">
      <c r="F723" s="6"/>
      <c r="G723" s="6"/>
    </row>
    <row r="724">
      <c r="F724" s="6"/>
      <c r="G724" s="6"/>
    </row>
    <row r="725">
      <c r="F725" s="6"/>
      <c r="G725" s="6"/>
    </row>
    <row r="726">
      <c r="F726" s="6"/>
      <c r="G726" s="6"/>
    </row>
    <row r="727">
      <c r="F727" s="6"/>
      <c r="G727" s="6"/>
    </row>
    <row r="728">
      <c r="F728" s="6"/>
      <c r="G728" s="6"/>
    </row>
    <row r="729">
      <c r="F729" s="6"/>
      <c r="G729" s="6"/>
    </row>
    <row r="730">
      <c r="F730" s="6"/>
      <c r="G730" s="6"/>
    </row>
    <row r="731">
      <c r="F731" s="6"/>
      <c r="G731" s="6"/>
    </row>
    <row r="732">
      <c r="F732" s="6"/>
      <c r="G732" s="6"/>
    </row>
    <row r="733">
      <c r="F733" s="6"/>
      <c r="G733" s="6"/>
    </row>
    <row r="734">
      <c r="F734" s="6"/>
      <c r="G734" s="6"/>
    </row>
    <row r="735">
      <c r="F735" s="6"/>
      <c r="G735" s="6"/>
    </row>
    <row r="736">
      <c r="F736" s="6"/>
      <c r="G736" s="6"/>
    </row>
    <row r="737">
      <c r="F737" s="6"/>
      <c r="G737" s="6"/>
    </row>
    <row r="738">
      <c r="F738" s="6"/>
      <c r="G738" s="6"/>
    </row>
    <row r="739">
      <c r="F739" s="6"/>
      <c r="G739" s="6"/>
    </row>
    <row r="740">
      <c r="F740" s="6"/>
      <c r="G740" s="6"/>
    </row>
    <row r="741">
      <c r="F741" s="6"/>
      <c r="G741" s="6"/>
    </row>
    <row r="742">
      <c r="F742" s="6"/>
      <c r="G742" s="6"/>
    </row>
    <row r="743">
      <c r="F743" s="6"/>
      <c r="G743" s="6"/>
    </row>
    <row r="744">
      <c r="F744" s="6"/>
      <c r="G744" s="6"/>
    </row>
    <row r="745">
      <c r="F745" s="6"/>
      <c r="G745" s="6"/>
    </row>
    <row r="746">
      <c r="F746" s="6"/>
      <c r="G746" s="6"/>
    </row>
    <row r="747">
      <c r="F747" s="6"/>
      <c r="G747" s="6"/>
    </row>
    <row r="748">
      <c r="F748" s="6"/>
      <c r="G748" s="6"/>
    </row>
    <row r="749">
      <c r="F749" s="6"/>
      <c r="G749" s="6"/>
    </row>
    <row r="750">
      <c r="F750" s="6"/>
      <c r="G750" s="6"/>
    </row>
    <row r="751">
      <c r="F751" s="6"/>
      <c r="G751" s="6"/>
    </row>
    <row r="752">
      <c r="F752" s="6"/>
      <c r="G752" s="6"/>
    </row>
    <row r="753">
      <c r="F753" s="6"/>
      <c r="G753" s="6"/>
    </row>
    <row r="754">
      <c r="F754" s="6"/>
      <c r="G754" s="6"/>
    </row>
    <row r="755">
      <c r="F755" s="6"/>
      <c r="G755" s="6"/>
    </row>
    <row r="756">
      <c r="F756" s="6"/>
      <c r="G756" s="6"/>
    </row>
    <row r="757">
      <c r="F757" s="6"/>
      <c r="G757" s="6"/>
    </row>
    <row r="758">
      <c r="F758" s="6"/>
      <c r="G758" s="6"/>
    </row>
    <row r="759">
      <c r="F759" s="6"/>
      <c r="G759" s="6"/>
    </row>
    <row r="760">
      <c r="F760" s="6"/>
      <c r="G760" s="6"/>
    </row>
    <row r="761">
      <c r="F761" s="6"/>
      <c r="G761" s="6"/>
    </row>
    <row r="762">
      <c r="F762" s="6"/>
      <c r="G762" s="6"/>
    </row>
    <row r="763">
      <c r="F763" s="6"/>
      <c r="G763" s="6"/>
    </row>
    <row r="764">
      <c r="F764" s="6"/>
      <c r="G764" s="6"/>
    </row>
    <row r="765">
      <c r="F765" s="6"/>
      <c r="G765" s="6"/>
    </row>
    <row r="766">
      <c r="F766" s="6"/>
      <c r="G766" s="6"/>
    </row>
    <row r="767">
      <c r="F767" s="6"/>
      <c r="G767" s="6"/>
    </row>
    <row r="768">
      <c r="F768" s="6"/>
      <c r="G768" s="6"/>
    </row>
    <row r="769">
      <c r="F769" s="6"/>
      <c r="G769" s="6"/>
    </row>
    <row r="770">
      <c r="F770" s="6"/>
      <c r="G770" s="6"/>
    </row>
    <row r="771">
      <c r="F771" s="6"/>
      <c r="G771" s="6"/>
    </row>
    <row r="772">
      <c r="F772" s="6"/>
      <c r="G772" s="6"/>
    </row>
    <row r="773">
      <c r="F773" s="6"/>
      <c r="G773" s="6"/>
    </row>
    <row r="774">
      <c r="F774" s="6"/>
      <c r="G774" s="6"/>
    </row>
    <row r="775">
      <c r="F775" s="6"/>
      <c r="G775" s="6"/>
    </row>
    <row r="776">
      <c r="F776" s="6"/>
      <c r="G776" s="6"/>
    </row>
    <row r="777">
      <c r="F777" s="6"/>
      <c r="G777" s="6"/>
    </row>
    <row r="778">
      <c r="F778" s="6"/>
      <c r="G778" s="6"/>
    </row>
    <row r="779">
      <c r="F779" s="6"/>
      <c r="G779" s="6"/>
    </row>
    <row r="780">
      <c r="F780" s="6"/>
      <c r="G780" s="6"/>
    </row>
    <row r="781">
      <c r="F781" s="6"/>
      <c r="G781" s="6"/>
    </row>
    <row r="782">
      <c r="F782" s="6"/>
      <c r="G782" s="6"/>
    </row>
    <row r="783">
      <c r="F783" s="6"/>
      <c r="G783" s="6"/>
    </row>
    <row r="784">
      <c r="F784" s="6"/>
      <c r="G784" s="6"/>
    </row>
    <row r="785">
      <c r="F785" s="6"/>
      <c r="G785" s="6"/>
    </row>
    <row r="786">
      <c r="F786" s="6"/>
      <c r="G786" s="6"/>
    </row>
    <row r="787">
      <c r="F787" s="6"/>
      <c r="G787" s="6"/>
    </row>
    <row r="788">
      <c r="F788" s="6"/>
      <c r="G788" s="6"/>
    </row>
    <row r="789">
      <c r="F789" s="6"/>
      <c r="G789" s="6"/>
    </row>
    <row r="790">
      <c r="F790" s="6"/>
      <c r="G790" s="6"/>
    </row>
    <row r="791">
      <c r="F791" s="6"/>
      <c r="G791" s="6"/>
    </row>
    <row r="792">
      <c r="F792" s="6"/>
      <c r="G792" s="6"/>
    </row>
    <row r="793">
      <c r="F793" s="6"/>
      <c r="G793" s="6"/>
    </row>
    <row r="794">
      <c r="F794" s="6"/>
      <c r="G794" s="6"/>
    </row>
    <row r="795">
      <c r="F795" s="6"/>
      <c r="G795" s="6"/>
    </row>
    <row r="796">
      <c r="F796" s="6"/>
      <c r="G796" s="6"/>
    </row>
    <row r="797">
      <c r="F797" s="6"/>
      <c r="G797" s="6"/>
    </row>
    <row r="798">
      <c r="F798" s="6"/>
      <c r="G798" s="6"/>
    </row>
    <row r="799">
      <c r="F799" s="6"/>
      <c r="G799" s="6"/>
    </row>
    <row r="800">
      <c r="F800" s="6"/>
      <c r="G800" s="6"/>
    </row>
    <row r="801">
      <c r="F801" s="6"/>
      <c r="G801" s="6"/>
    </row>
    <row r="802">
      <c r="F802" s="6"/>
      <c r="G802" s="6"/>
    </row>
    <row r="803">
      <c r="F803" s="6"/>
      <c r="G803" s="6"/>
    </row>
    <row r="804">
      <c r="F804" s="6"/>
      <c r="G804" s="6"/>
    </row>
    <row r="805">
      <c r="F805" s="6"/>
      <c r="G805" s="6"/>
    </row>
    <row r="806">
      <c r="F806" s="6"/>
      <c r="G806" s="6"/>
    </row>
    <row r="807">
      <c r="F807" s="6"/>
      <c r="G807" s="6"/>
    </row>
    <row r="808">
      <c r="F808" s="6"/>
      <c r="G808" s="6"/>
    </row>
    <row r="809">
      <c r="F809" s="6"/>
      <c r="G809" s="6"/>
    </row>
    <row r="810">
      <c r="F810" s="6"/>
      <c r="G810" s="6"/>
    </row>
    <row r="811">
      <c r="F811" s="6"/>
      <c r="G811" s="6"/>
    </row>
    <row r="812">
      <c r="F812" s="6"/>
      <c r="G812" s="6"/>
    </row>
    <row r="813">
      <c r="F813" s="6"/>
      <c r="G813" s="6"/>
    </row>
    <row r="814">
      <c r="F814" s="6"/>
      <c r="G814" s="6"/>
    </row>
    <row r="815">
      <c r="F815" s="6"/>
      <c r="G815" s="6"/>
    </row>
    <row r="816">
      <c r="F816" s="6"/>
      <c r="G816" s="6"/>
    </row>
    <row r="817">
      <c r="F817" s="6"/>
      <c r="G817" s="6"/>
    </row>
    <row r="818">
      <c r="F818" s="6"/>
      <c r="G818" s="6"/>
    </row>
    <row r="819">
      <c r="F819" s="6"/>
      <c r="G819" s="6"/>
    </row>
    <row r="820">
      <c r="F820" s="6"/>
      <c r="G820" s="6"/>
    </row>
    <row r="821">
      <c r="F821" s="6"/>
      <c r="G821" s="6"/>
    </row>
    <row r="822">
      <c r="F822" s="6"/>
      <c r="G822" s="6"/>
    </row>
    <row r="823">
      <c r="F823" s="6"/>
      <c r="G823" s="6"/>
    </row>
    <row r="824">
      <c r="F824" s="6"/>
      <c r="G824" s="6"/>
    </row>
    <row r="825">
      <c r="F825" s="6"/>
      <c r="G825" s="6"/>
    </row>
    <row r="826">
      <c r="F826" s="6"/>
      <c r="G826" s="6"/>
    </row>
    <row r="827">
      <c r="F827" s="6"/>
      <c r="G827" s="6"/>
    </row>
    <row r="828">
      <c r="F828" s="6"/>
      <c r="G828" s="6"/>
    </row>
    <row r="829">
      <c r="F829" s="6"/>
      <c r="G829" s="6"/>
    </row>
    <row r="830">
      <c r="F830" s="6"/>
      <c r="G830" s="6"/>
    </row>
    <row r="831">
      <c r="F831" s="6"/>
      <c r="G831" s="6"/>
    </row>
    <row r="832">
      <c r="F832" s="6"/>
      <c r="G832" s="6"/>
    </row>
    <row r="833">
      <c r="F833" s="6"/>
      <c r="G833" s="6"/>
    </row>
    <row r="834">
      <c r="F834" s="6"/>
      <c r="G834" s="6"/>
    </row>
    <row r="835">
      <c r="F835" s="6"/>
      <c r="G835" s="6"/>
    </row>
    <row r="836">
      <c r="F836" s="6"/>
      <c r="G836" s="6"/>
    </row>
    <row r="837">
      <c r="F837" s="6"/>
      <c r="G837" s="6"/>
    </row>
    <row r="838">
      <c r="F838" s="6"/>
      <c r="G838" s="6"/>
    </row>
    <row r="839">
      <c r="F839" s="6"/>
      <c r="G839" s="6"/>
    </row>
    <row r="840">
      <c r="F840" s="6"/>
      <c r="G840" s="6"/>
    </row>
    <row r="841">
      <c r="F841" s="6"/>
      <c r="G841" s="6"/>
    </row>
    <row r="842">
      <c r="F842" s="6"/>
      <c r="G842" s="6"/>
    </row>
    <row r="843">
      <c r="F843" s="6"/>
      <c r="G843" s="6"/>
    </row>
    <row r="844">
      <c r="F844" s="6"/>
      <c r="G844" s="6"/>
    </row>
    <row r="845">
      <c r="F845" s="6"/>
      <c r="G845" s="6"/>
    </row>
    <row r="846">
      <c r="F846" s="6"/>
      <c r="G846" s="6"/>
    </row>
    <row r="847">
      <c r="F847" s="6"/>
      <c r="G847" s="6"/>
    </row>
    <row r="848">
      <c r="F848" s="6"/>
      <c r="G848" s="6"/>
    </row>
    <row r="849">
      <c r="F849" s="6"/>
      <c r="G849" s="6"/>
    </row>
    <row r="850">
      <c r="F850" s="6"/>
      <c r="G850" s="6"/>
    </row>
    <row r="851">
      <c r="F851" s="6"/>
      <c r="G851" s="6"/>
    </row>
    <row r="852">
      <c r="F852" s="6"/>
      <c r="G852" s="6"/>
    </row>
    <row r="853">
      <c r="F853" s="6"/>
      <c r="G853" s="6"/>
    </row>
    <row r="854">
      <c r="F854" s="6"/>
      <c r="G854" s="6"/>
    </row>
    <row r="855">
      <c r="F855" s="6"/>
      <c r="G855" s="6"/>
    </row>
    <row r="856">
      <c r="F856" s="6"/>
      <c r="G856" s="6"/>
    </row>
    <row r="857">
      <c r="F857" s="6"/>
      <c r="G857" s="6"/>
    </row>
    <row r="858">
      <c r="F858" s="6"/>
      <c r="G858" s="6"/>
    </row>
    <row r="859">
      <c r="F859" s="6"/>
      <c r="G859" s="6"/>
    </row>
    <row r="860">
      <c r="F860" s="6"/>
      <c r="G860" s="6"/>
    </row>
    <row r="861">
      <c r="F861" s="6"/>
      <c r="G861" s="6"/>
    </row>
    <row r="862">
      <c r="F862" s="6"/>
      <c r="G862" s="6"/>
    </row>
    <row r="863">
      <c r="F863" s="6"/>
      <c r="G863" s="6"/>
    </row>
    <row r="864">
      <c r="F864" s="6"/>
      <c r="G864" s="6"/>
    </row>
    <row r="865">
      <c r="F865" s="6"/>
      <c r="G865" s="6"/>
    </row>
    <row r="866">
      <c r="F866" s="6"/>
      <c r="G866" s="6"/>
    </row>
    <row r="867">
      <c r="F867" s="6"/>
      <c r="G867" s="6"/>
    </row>
    <row r="868">
      <c r="F868" s="6"/>
      <c r="G868" s="6"/>
    </row>
    <row r="869">
      <c r="F869" s="6"/>
      <c r="G869" s="6"/>
    </row>
    <row r="870">
      <c r="F870" s="6"/>
      <c r="G870" s="6"/>
    </row>
    <row r="871">
      <c r="F871" s="6"/>
      <c r="G871" s="6"/>
    </row>
    <row r="872">
      <c r="F872" s="6"/>
      <c r="G872" s="6"/>
    </row>
    <row r="873">
      <c r="F873" s="6"/>
      <c r="G873" s="6"/>
    </row>
    <row r="874">
      <c r="F874" s="6"/>
      <c r="G874" s="6"/>
    </row>
    <row r="875">
      <c r="F875" s="6"/>
      <c r="G875" s="6"/>
    </row>
    <row r="876">
      <c r="F876" s="6"/>
      <c r="G876" s="6"/>
    </row>
    <row r="877">
      <c r="F877" s="6"/>
      <c r="G877" s="6"/>
    </row>
    <row r="878">
      <c r="F878" s="6"/>
      <c r="G878" s="6"/>
    </row>
    <row r="879">
      <c r="F879" s="6"/>
      <c r="G879" s="6"/>
    </row>
    <row r="880">
      <c r="F880" s="6"/>
      <c r="G880" s="6"/>
    </row>
    <row r="881">
      <c r="F881" s="6"/>
      <c r="G881" s="6"/>
    </row>
    <row r="882">
      <c r="F882" s="6"/>
      <c r="G882" s="6"/>
    </row>
    <row r="883">
      <c r="F883" s="6"/>
      <c r="G883" s="6"/>
    </row>
    <row r="884">
      <c r="F884" s="6"/>
      <c r="G884" s="6"/>
    </row>
    <row r="885">
      <c r="F885" s="6"/>
      <c r="G885" s="6"/>
    </row>
    <row r="886">
      <c r="F886" s="6"/>
      <c r="G886" s="6"/>
    </row>
    <row r="887">
      <c r="F887" s="6"/>
      <c r="G887" s="6"/>
    </row>
    <row r="888">
      <c r="F888" s="6"/>
      <c r="G888" s="6"/>
    </row>
    <row r="889">
      <c r="F889" s="6"/>
      <c r="G889" s="6"/>
    </row>
    <row r="890">
      <c r="F890" s="6"/>
      <c r="G890" s="6"/>
    </row>
    <row r="891">
      <c r="F891" s="6"/>
      <c r="G891" s="6"/>
    </row>
    <row r="892">
      <c r="F892" s="6"/>
      <c r="G892" s="6"/>
    </row>
    <row r="893">
      <c r="F893" s="6"/>
      <c r="G893" s="6"/>
    </row>
    <row r="894">
      <c r="F894" s="6"/>
      <c r="G894" s="6"/>
    </row>
    <row r="895">
      <c r="F895" s="6"/>
      <c r="G895" s="6"/>
    </row>
    <row r="896">
      <c r="F896" s="6"/>
      <c r="G896" s="6"/>
    </row>
    <row r="897">
      <c r="F897" s="6"/>
      <c r="G897" s="6"/>
    </row>
    <row r="898">
      <c r="F898" s="6"/>
      <c r="G898" s="6"/>
    </row>
    <row r="899">
      <c r="F899" s="6"/>
      <c r="G899" s="6"/>
    </row>
    <row r="900">
      <c r="F900" s="6"/>
      <c r="G900" s="6"/>
    </row>
    <row r="901">
      <c r="F901" s="6"/>
      <c r="G901" s="6"/>
    </row>
    <row r="902">
      <c r="F902" s="6"/>
      <c r="G902" s="6"/>
    </row>
    <row r="903">
      <c r="F903" s="6"/>
      <c r="G903" s="6"/>
    </row>
    <row r="904">
      <c r="F904" s="6"/>
      <c r="G904" s="6"/>
    </row>
    <row r="905">
      <c r="F905" s="6"/>
      <c r="G905" s="6"/>
    </row>
    <row r="906">
      <c r="F906" s="6"/>
      <c r="G906" s="6"/>
    </row>
    <row r="907">
      <c r="F907" s="6"/>
      <c r="G907" s="6"/>
    </row>
    <row r="908">
      <c r="F908" s="6"/>
      <c r="G908" s="6"/>
    </row>
    <row r="909">
      <c r="F909" s="6"/>
      <c r="G909" s="6"/>
    </row>
    <row r="910">
      <c r="F910" s="6"/>
      <c r="G910" s="6"/>
    </row>
    <row r="911">
      <c r="F911" s="6"/>
      <c r="G911" s="6"/>
    </row>
    <row r="912">
      <c r="F912" s="6"/>
      <c r="G912" s="6"/>
    </row>
    <row r="913">
      <c r="F913" s="6"/>
      <c r="G913" s="6"/>
    </row>
    <row r="914">
      <c r="F914" s="6"/>
      <c r="G914" s="6"/>
    </row>
    <row r="915">
      <c r="F915" s="6"/>
      <c r="G915" s="6"/>
    </row>
    <row r="916">
      <c r="F916" s="6"/>
      <c r="G916" s="6"/>
    </row>
    <row r="917">
      <c r="F917" s="6"/>
      <c r="G917" s="6"/>
    </row>
    <row r="918">
      <c r="F918" s="6"/>
      <c r="G918" s="6"/>
    </row>
    <row r="919">
      <c r="F919" s="6"/>
      <c r="G919" s="6"/>
    </row>
    <row r="920">
      <c r="F920" s="6"/>
      <c r="G920" s="6"/>
    </row>
    <row r="921">
      <c r="F921" s="6"/>
      <c r="G921" s="6"/>
    </row>
    <row r="922">
      <c r="F922" s="6"/>
      <c r="G922" s="6"/>
    </row>
    <row r="923">
      <c r="F923" s="6"/>
      <c r="G923" s="6"/>
    </row>
    <row r="924">
      <c r="F924" s="6"/>
      <c r="G924" s="6"/>
    </row>
    <row r="925">
      <c r="F925" s="6"/>
      <c r="G925" s="6"/>
    </row>
    <row r="926">
      <c r="F926" s="6"/>
      <c r="G926" s="6"/>
    </row>
    <row r="927">
      <c r="F927" s="6"/>
      <c r="G927" s="6"/>
    </row>
    <row r="928">
      <c r="F928" s="6"/>
      <c r="G928" s="6"/>
    </row>
    <row r="929">
      <c r="F929" s="6"/>
      <c r="G929" s="6"/>
    </row>
    <row r="930">
      <c r="F930" s="6"/>
      <c r="G930" s="6"/>
    </row>
    <row r="931">
      <c r="F931" s="6"/>
      <c r="G931" s="6"/>
    </row>
    <row r="932">
      <c r="F932" s="6"/>
      <c r="G932" s="6"/>
    </row>
    <row r="933">
      <c r="F933" s="6"/>
      <c r="G933" s="6"/>
    </row>
    <row r="934">
      <c r="F934" s="6"/>
      <c r="G934" s="6"/>
    </row>
    <row r="935">
      <c r="F935" s="6"/>
      <c r="G935" s="6"/>
    </row>
    <row r="936">
      <c r="F936" s="6"/>
      <c r="G936" s="6"/>
    </row>
    <row r="937">
      <c r="F937" s="6"/>
      <c r="G937" s="6"/>
    </row>
    <row r="938">
      <c r="F938" s="6"/>
      <c r="G938" s="6"/>
    </row>
    <row r="939">
      <c r="F939" s="6"/>
      <c r="G939" s="6"/>
    </row>
    <row r="940">
      <c r="F940" s="6"/>
      <c r="G940" s="6"/>
    </row>
    <row r="941">
      <c r="F941" s="6"/>
      <c r="G941" s="6"/>
    </row>
    <row r="942">
      <c r="F942" s="6"/>
      <c r="G942" s="6"/>
    </row>
    <row r="943">
      <c r="F943" s="6"/>
      <c r="G943" s="6"/>
    </row>
    <row r="944">
      <c r="F944" s="6"/>
      <c r="G944" s="6"/>
    </row>
    <row r="945">
      <c r="F945" s="6"/>
      <c r="G945" s="6"/>
    </row>
    <row r="946">
      <c r="F946" s="6"/>
      <c r="G946" s="6"/>
    </row>
    <row r="947">
      <c r="F947" s="6"/>
      <c r="G947" s="6"/>
    </row>
    <row r="948">
      <c r="F948" s="6"/>
      <c r="G948" s="6"/>
    </row>
    <row r="949">
      <c r="F949" s="6"/>
      <c r="G949" s="6"/>
    </row>
    <row r="950">
      <c r="F950" s="6"/>
      <c r="G950" s="6"/>
    </row>
    <row r="951">
      <c r="F951" s="6"/>
      <c r="G951" s="6"/>
    </row>
    <row r="952">
      <c r="F952" s="6"/>
      <c r="G952" s="6"/>
    </row>
    <row r="953">
      <c r="F953" s="6"/>
      <c r="G953" s="6"/>
    </row>
    <row r="954">
      <c r="F954" s="6"/>
      <c r="G954" s="6"/>
    </row>
    <row r="955">
      <c r="F955" s="6"/>
      <c r="G955" s="6"/>
    </row>
    <row r="956">
      <c r="F956" s="6"/>
      <c r="G956" s="6"/>
    </row>
    <row r="957">
      <c r="F957" s="6"/>
      <c r="G957" s="6"/>
    </row>
    <row r="958">
      <c r="F958" s="6"/>
      <c r="G958" s="6"/>
    </row>
    <row r="959">
      <c r="F959" s="6"/>
      <c r="G959" s="6"/>
    </row>
    <row r="960">
      <c r="F960" s="6"/>
      <c r="G960" s="6"/>
    </row>
    <row r="961">
      <c r="F961" s="6"/>
      <c r="G961" s="6"/>
    </row>
    <row r="962">
      <c r="F962" s="6"/>
      <c r="G962" s="6"/>
    </row>
    <row r="963">
      <c r="F963" s="6"/>
      <c r="G963" s="6"/>
    </row>
    <row r="964">
      <c r="F964" s="6"/>
      <c r="G964" s="6"/>
    </row>
    <row r="965">
      <c r="F965" s="6"/>
      <c r="G965" s="6"/>
    </row>
    <row r="966">
      <c r="F966" s="6"/>
      <c r="G966" s="6"/>
    </row>
    <row r="967">
      <c r="F967" s="6"/>
      <c r="G967" s="6"/>
    </row>
    <row r="968">
      <c r="F968" s="6"/>
      <c r="G968" s="6"/>
    </row>
    <row r="969">
      <c r="F969" s="6"/>
      <c r="G969" s="6"/>
    </row>
    <row r="970">
      <c r="F970" s="6"/>
      <c r="G970" s="6"/>
    </row>
    <row r="971">
      <c r="F971" s="6"/>
      <c r="G971" s="6"/>
    </row>
    <row r="972">
      <c r="F972" s="6"/>
      <c r="G972" s="6"/>
    </row>
    <row r="973">
      <c r="F973" s="6"/>
      <c r="G973" s="6"/>
    </row>
    <row r="974">
      <c r="F974" s="6"/>
      <c r="G974" s="6"/>
    </row>
    <row r="975">
      <c r="F975" s="6"/>
      <c r="G975" s="6"/>
    </row>
    <row r="976">
      <c r="F976" s="6"/>
      <c r="G976" s="6"/>
    </row>
    <row r="977">
      <c r="F977" s="6"/>
      <c r="G977" s="6"/>
    </row>
    <row r="978">
      <c r="F978" s="6"/>
      <c r="G978" s="6"/>
    </row>
    <row r="979">
      <c r="F979" s="6"/>
      <c r="G979" s="6"/>
    </row>
    <row r="980">
      <c r="F980" s="6"/>
      <c r="G980" s="6"/>
    </row>
    <row r="981">
      <c r="F981" s="6"/>
      <c r="G981" s="6"/>
    </row>
    <row r="982">
      <c r="F982" s="6"/>
      <c r="G982" s="6"/>
    </row>
    <row r="983">
      <c r="F983" s="6"/>
      <c r="G983" s="6"/>
    </row>
    <row r="984">
      <c r="F984" s="6"/>
      <c r="G984" s="6"/>
    </row>
    <row r="985">
      <c r="F985" s="6"/>
      <c r="G985" s="6"/>
    </row>
    <row r="986">
      <c r="F986" s="6"/>
      <c r="G986" s="6"/>
    </row>
    <row r="987">
      <c r="F987" s="6"/>
      <c r="G987" s="6"/>
    </row>
    <row r="988">
      <c r="F988" s="6"/>
      <c r="G988" s="6"/>
    </row>
    <row r="989">
      <c r="F989" s="6"/>
      <c r="G989" s="6"/>
    </row>
    <row r="990">
      <c r="F990" s="6"/>
      <c r="G990" s="6"/>
    </row>
    <row r="991">
      <c r="F991" s="6"/>
      <c r="G991" s="6"/>
    </row>
    <row r="992">
      <c r="F992" s="6"/>
      <c r="G992" s="6"/>
    </row>
    <row r="993">
      <c r="F993" s="6"/>
      <c r="G993" s="6"/>
    </row>
    <row r="994">
      <c r="F994" s="6"/>
      <c r="G994" s="6"/>
    </row>
    <row r="995">
      <c r="F995" s="6"/>
      <c r="G995" s="6"/>
    </row>
    <row r="996">
      <c r="F996" s="6"/>
      <c r="G996" s="6"/>
    </row>
    <row r="997">
      <c r="F997" s="6"/>
      <c r="G997" s="6"/>
    </row>
    <row r="998">
      <c r="F998" s="6"/>
      <c r="G998" s="6"/>
    </row>
    <row r="999">
      <c r="F999" s="6"/>
      <c r="G999" s="6"/>
    </row>
    <row r="1000">
      <c r="F1000" s="6"/>
      <c r="G1000" s="6"/>
    </row>
  </sheetData>
  <dataValidations>
    <dataValidation type="list" allowBlank="1" sqref="F117:F1000">
      <formula1>'Document Type Values'!$A$1:$A$30</formula1>
    </dataValidation>
    <dataValidation type="list" allowBlank="1" sqref="F2:G116 G117:G1000">
      <formula1>'_document type values'!$A:$A</formula1>
    </dataValidation>
  </dataValidations>
  <hyperlinks>
    <hyperlink r:id="rId1" ref="K2"/>
    <hyperlink r:id="rId2" ref="J3"/>
    <hyperlink r:id="rId3" ref="K3"/>
    <hyperlink r:id="rId4" ref="K4"/>
    <hyperlink r:id="rId5" ref="K5"/>
    <hyperlink r:id="rId6" ref="K6"/>
    <hyperlink r:id="rId7" ref="K7"/>
    <hyperlink r:id="rId8" ref="K8"/>
    <hyperlink r:id="rId9" ref="K9"/>
    <hyperlink r:id="rId10" ref="K10"/>
    <hyperlink r:id="rId11" ref="K11"/>
    <hyperlink r:id="rId12" ref="K12"/>
    <hyperlink r:id="rId13" ref="K13"/>
    <hyperlink r:id="rId14" ref="K14"/>
    <hyperlink r:id="rId15" ref="K15"/>
    <hyperlink r:id="rId16" ref="K16"/>
    <hyperlink r:id="rId17" ref="K17"/>
    <hyperlink r:id="rId18" ref="K18"/>
    <hyperlink r:id="rId19" ref="K19"/>
    <hyperlink r:id="rId20" ref="K20"/>
    <hyperlink r:id="rId21" ref="K21"/>
    <hyperlink r:id="rId22" ref="K22"/>
    <hyperlink r:id="rId23" ref="K23"/>
    <hyperlink r:id="rId24" ref="J24"/>
    <hyperlink r:id="rId25" ref="K24"/>
    <hyperlink r:id="rId26" ref="K25"/>
    <hyperlink r:id="rId27" ref="K26"/>
    <hyperlink r:id="rId28" ref="K27"/>
    <hyperlink r:id="rId29" ref="K28"/>
    <hyperlink r:id="rId30" ref="K29"/>
    <hyperlink r:id="rId31" ref="K30"/>
    <hyperlink r:id="rId32" ref="K31"/>
    <hyperlink r:id="rId33" ref="K32"/>
    <hyperlink r:id="rId34" ref="K33"/>
    <hyperlink r:id="rId35" ref="K34"/>
    <hyperlink r:id="rId36" ref="K35"/>
    <hyperlink r:id="rId37" ref="K36"/>
    <hyperlink r:id="rId38" ref="K37"/>
    <hyperlink r:id="rId39" ref="K38"/>
    <hyperlink r:id="rId40" ref="K39"/>
    <hyperlink r:id="rId41" ref="K40"/>
    <hyperlink r:id="rId42" ref="K41"/>
    <hyperlink r:id="rId43" ref="K42"/>
    <hyperlink r:id="rId44" ref="K43"/>
    <hyperlink r:id="rId45" ref="K44"/>
    <hyperlink r:id="rId46" ref="K45"/>
    <hyperlink r:id="rId47" ref="K46"/>
    <hyperlink r:id="rId48" ref="K47"/>
    <hyperlink r:id="rId49" ref="K48"/>
    <hyperlink r:id="rId50" ref="K49"/>
    <hyperlink r:id="rId51" ref="K50"/>
    <hyperlink r:id="rId52" ref="K51"/>
    <hyperlink r:id="rId53" ref="K52"/>
    <hyperlink r:id="rId54" ref="K53"/>
    <hyperlink r:id="rId55" ref="K54"/>
    <hyperlink r:id="rId56" ref="K55"/>
    <hyperlink r:id="rId57" ref="K56"/>
    <hyperlink r:id="rId58" ref="K57"/>
    <hyperlink r:id="rId59" ref="K58"/>
    <hyperlink r:id="rId60" ref="K59"/>
    <hyperlink r:id="rId61" ref="K60"/>
    <hyperlink r:id="rId62" ref="K61"/>
    <hyperlink r:id="rId63" ref="K62"/>
    <hyperlink r:id="rId64" ref="K63"/>
    <hyperlink r:id="rId65" ref="K64"/>
    <hyperlink r:id="rId66" ref="K65"/>
    <hyperlink r:id="rId67" ref="K66"/>
    <hyperlink r:id="rId68" ref="K67"/>
    <hyperlink r:id="rId69" ref="K68"/>
    <hyperlink r:id="rId70" ref="K69"/>
    <hyperlink r:id="rId71" ref="K70"/>
    <hyperlink r:id="rId72" ref="K71"/>
    <hyperlink r:id="rId73" ref="K72"/>
    <hyperlink r:id="rId74" ref="K73"/>
    <hyperlink r:id="rId75" ref="K74"/>
    <hyperlink r:id="rId76" ref="K75"/>
    <hyperlink r:id="rId77" ref="K76"/>
    <hyperlink r:id="rId78" ref="K77"/>
    <hyperlink r:id="rId79" ref="J78"/>
    <hyperlink r:id="rId80" ref="K78"/>
    <hyperlink r:id="rId81" ref="K79"/>
    <hyperlink r:id="rId82" ref="K80"/>
    <hyperlink r:id="rId83" ref="K81"/>
    <hyperlink r:id="rId84" ref="K82"/>
    <hyperlink r:id="rId85" ref="K83"/>
    <hyperlink r:id="rId86" ref="K84"/>
    <hyperlink r:id="rId87" ref="J85"/>
    <hyperlink r:id="rId88" ref="K85"/>
    <hyperlink r:id="rId89" ref="K86"/>
    <hyperlink r:id="rId90" ref="K87"/>
    <hyperlink r:id="rId91" ref="K88"/>
    <hyperlink r:id="rId92" ref="K89"/>
    <hyperlink r:id="rId93" ref="K90"/>
    <hyperlink r:id="rId94" ref="K91"/>
    <hyperlink r:id="rId95" ref="K92"/>
    <hyperlink r:id="rId96" ref="K93"/>
    <hyperlink r:id="rId97" ref="K94"/>
    <hyperlink r:id="rId98" ref="K95"/>
    <hyperlink r:id="rId99" ref="K96"/>
    <hyperlink r:id="rId100" ref="K97"/>
    <hyperlink r:id="rId101" ref="K98"/>
    <hyperlink r:id="rId102" ref="K99"/>
    <hyperlink r:id="rId103" ref="K100"/>
    <hyperlink r:id="rId104" ref="K101"/>
    <hyperlink r:id="rId105" ref="K102"/>
    <hyperlink r:id="rId106" ref="K103"/>
    <hyperlink r:id="rId107" ref="K104"/>
    <hyperlink r:id="rId108" ref="K105"/>
    <hyperlink r:id="rId109" ref="K106"/>
    <hyperlink r:id="rId110" ref="K107"/>
    <hyperlink r:id="rId111" location="0000|ko" ref="J108"/>
    <hyperlink r:id="rId112" location="0000" ref="K108"/>
    <hyperlink r:id="rId113" ref="J109"/>
    <hyperlink r:id="rId114" ref="K109"/>
    <hyperlink r:id="rId115" ref="J110"/>
    <hyperlink r:id="rId116" ref="K110"/>
    <hyperlink r:id="rId117" ref="K111"/>
    <hyperlink r:id="rId118" ref="K112"/>
    <hyperlink r:id="rId119" ref="K113"/>
    <hyperlink r:id="rId120" ref="K114"/>
    <hyperlink r:id="rId121" ref="K115"/>
    <hyperlink r:id="rId122" ref="K116"/>
  </hyperlinks>
  <drawing r:id="rId123"/>
</worksheet>
</file>