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@marcus@climatepolicyradar.org this is breaking our data import as there's no language code in the language table for Dari. As we won't be able to parse Dari any time soon, I've deleted the title for now so it won't be imported for alpha.
I'm sure we can find a way to get it in at a later date
	-Kalyan Dutia</t>
      </text>
    </comment>
  </commentList>
</comments>
</file>

<file path=xl/sharedStrings.xml><?xml version="1.0" encoding="utf-8"?>
<sst xmlns="http://schemas.openxmlformats.org/spreadsheetml/2006/main" count="16623" uniqueCount="6084">
  <si>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</si>
  <si>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</si>
  <si>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</si>
  <si>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</si>
  <si>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</si>
  <si>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</si>
  <si>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</si>
  <si>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</si>
  <si>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</si>
  <si>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</si>
  <si>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</si>
  <si>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</si>
  <si>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</si>
  <si>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</si>
  <si>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</si>
  <si>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</si>
  <si>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</si>
  <si>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</si>
  <si>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</si>
  <si>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</si>
  <si>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</si>
  <si>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</si>
  <si>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</si>
  <si>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</si>
  <si>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</si>
  <si>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</si>
  <si>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</si>
  <si>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</si>
  <si>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</si>
  <si>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</si>
  <si>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</si>
  <si>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</si>
  <si>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</si>
  <si>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</si>
  <si>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</si>
  <si>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</si>
  <si>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</si>
  <si>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</si>
  <si>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</si>
  <si>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</si>
  <si>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</si>
  <si>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</si>
  <si>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</si>
  <si>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</si>
  <si>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</si>
  <si>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</si>
  <si>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</si>
  <si>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</si>
  <si>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</si>
  <si>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</si>
  <si>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</si>
  <si>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</si>
  <si>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</si>
  <si>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</si>
  <si>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</si>
  <si>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</si>
  <si>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</si>
  <si>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</si>
  <si>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</si>
  <si>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</si>
  <si>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</si>
  <si>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</si>
  <si>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</si>
  <si>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</si>
  <si>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</si>
  <si>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</si>
  <si>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</si>
  <si>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</si>
  <si>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</si>
  <si>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</si>
  <si>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</si>
  <si>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</si>
  <si>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</si>
  <si>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</si>
  <si>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</si>
  <si>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</si>
  <si>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</si>
  <si>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</si>
  <si>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</si>
  <si>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</si>
  <si>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</si>
  <si>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</si>
  <si>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</si>
  <si>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</si>
  <si>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</si>
  <si>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</si>
  <si>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</si>
  <si>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</si>
  <si>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</si>
  <si>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</si>
  <si>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</si>
  <si>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</si>
  <si>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</si>
  <si>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</si>
  <si>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</si>
  <si>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</si>
  <si>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</si>
  <si>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</si>
  <si>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</si>
  <si>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</si>
  <si>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</si>
  <si>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</si>
  <si>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</si>
  <si>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</si>
  <si>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</si>
  <si>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</si>
  <si>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</si>
  <si>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</si>
  <si>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</si>
  <si>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</si>
  <si>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</si>
  <si>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</si>
  <si>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</si>
  <si>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</si>
  <si>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</si>
  <si>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</si>
  <si>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</si>
  <si>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</si>
  <si>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</si>
  <si>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</si>
  <si>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</si>
  <si>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</si>
  <si>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</si>
  <si>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</si>
  <si>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</si>
  <si>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</si>
  <si>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</si>
  <si>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</si>
  <si>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</si>
  <si>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</si>
  <si>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</si>
  <si>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</si>
  <si>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</si>
  <si>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</si>
  <si>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</si>
  <si>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</si>
  <si>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</si>
  <si>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</si>
  <si>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</si>
  <si>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</si>
  <si>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</si>
  <si>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</si>
  <si>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</si>
  <si>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</si>
  <si>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</si>
  <si>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</si>
  <si>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</si>
  <si>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</si>
  <si>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</si>
  <si>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</si>
  <si>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</si>
  <si>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</si>
  <si>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</si>
  <si>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</si>
  <si>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</si>
  <si>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</si>
  <si>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</si>
  <si>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</si>
  <si>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</si>
  <si>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</si>
  <si>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</si>
  <si>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</si>
  <si>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</si>
  <si>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</si>
  <si>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</si>
  <si>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</si>
  <si>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</si>
  <si>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</si>
  <si>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</si>
  <si>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</si>
  <si>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</si>
  <si>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</si>
  <si>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</si>
  <si>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</si>
  <si>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</si>
  <si>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</si>
  <si>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</si>
  <si>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</si>
  <si>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</si>
  <si>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</si>
  <si>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</si>
  <si>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</si>
  <si>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</si>
  <si>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</si>
  <si>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</si>
  <si>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</si>
  <si>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</si>
  <si>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</si>
  <si>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</si>
  <si>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</si>
  <si>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</si>
  <si>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</si>
  <si>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</si>
  <si>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</si>
  <si>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</si>
  <si>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</si>
  <si>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</si>
  <si>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</si>
  <si>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</si>
  <si>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</si>
  <si>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</si>
  <si>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</si>
  <si>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</si>
  <si>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</si>
  <si>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</si>
  <si>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</si>
  <si>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</si>
  <si>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</si>
  <si>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</si>
  <si>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</si>
  <si>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</si>
  <si>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</si>
  <si>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</si>
  <si>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</si>
  <si>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</si>
  <si>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</si>
  <si>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</si>
  <si>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</si>
  <si>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</si>
  <si>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</si>
  <si>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</si>
  <si>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</si>
  <si>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</si>
  <si>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</si>
  <si>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</si>
  <si>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</si>
  <si>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</si>
  <si>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</si>
  <si>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</si>
  <si>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</si>
  <si>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</si>
  <si>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</si>
  <si>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</si>
  <si>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</si>
  <si>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</si>
  <si>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</si>
  <si>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</si>
  <si>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</si>
  <si>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</si>
  <si>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</si>
  <si>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</si>
  <si>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</si>
  <si>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</si>
  <si>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</si>
  <si>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</si>
  <si>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</si>
  <si>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</si>
  <si>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</si>
  <si>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</si>
  <si>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</si>
  <si>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</si>
  <si>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</si>
  <si>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</si>
  <si>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</si>
  <si>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</si>
  <si>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</si>
  <si>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</si>
  <si>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</si>
  <si>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</si>
  <si>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</si>
  <si>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</si>
  <si>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</si>
  <si>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</si>
  <si>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</si>
  <si>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</si>
  <si>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</si>
  <si>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</si>
  <si>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</si>
  <si>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</si>
  <si>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</si>
  <si>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</si>
  <si>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</si>
  <si>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</si>
  <si>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</si>
  <si>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</si>
  <si>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</si>
  <si>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</si>
  <si>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</si>
  <si>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</si>
  <si>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</si>
  <si>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</si>
  <si>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</si>
  <si>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</si>
  <si>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</si>
  <si>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</si>
  <si>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</si>
  <si>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</si>
  <si>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</si>
  <si>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</si>
  <si>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</si>
  <si>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</si>
  <si>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</si>
  <si>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</si>
  <si>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</si>
  <si>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</si>
  <si>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</si>
  <si>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</si>
  <si>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</si>
  <si>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</si>
  <si>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</si>
  <si>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</si>
  <si>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</si>
  <si>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</si>
  <si>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</si>
  <si>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</si>
  <si>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</si>
  <si>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</si>
  <si>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</si>
  <si>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</si>
  <si>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</si>
  <si>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</si>
  <si>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</si>
  <si>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</si>
  <si>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</si>
  <si>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</si>
  <si>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</si>
  <si>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</si>
  <si>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</si>
  <si>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</si>
  <si>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</si>
  <si>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</si>
  <si>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</si>
  <si>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</si>
  <si>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</si>
  <si>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</si>
  <si>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</si>
  <si>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</si>
  <si>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</si>
  <si>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</si>
  <si>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</si>
  <si>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</si>
  <si>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</si>
  <si>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</si>
  <si>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</si>
  <si>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</si>
  <si>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</si>
  <si>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</si>
  <si>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</si>
  <si>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</si>
  <si>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</si>
  <si>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</si>
  <si>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</si>
  <si>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</si>
  <si>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</si>
  <si>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</si>
  <si>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</si>
  <si>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</si>
  <si>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</si>
  <si>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</si>
  <si>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</si>
  <si>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</si>
  <si>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</si>
  <si>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</si>
  <si>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</si>
  <si>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</si>
  <si>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</si>
  <si>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</si>
  <si>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</si>
  <si>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</si>
  <si>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</si>
  <si>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</si>
  <si>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</si>
  <si>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</si>
  <si>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</si>
  <si>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</si>
  <si>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</si>
  <si>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</si>
  <si>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</si>
  <si>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</si>
  <si>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</si>
  <si>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</si>
  <si>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</si>
  <si>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</si>
  <si>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</si>
  <si>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</si>
  <si>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</si>
  <si>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</si>
  <si>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</si>
  <si>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</si>
  <si>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</si>
  <si>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</si>
  <si>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</si>
  <si>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</si>
  <si>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</si>
  <si>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</si>
  <si>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</si>
  <si>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</si>
  <si>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</si>
  <si>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</si>
  <si>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</si>
  <si>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</si>
  <si>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</si>
  <si>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</si>
  <si>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</si>
  <si>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</si>
  <si>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</si>
  <si>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</si>
  <si>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</si>
  <si>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</si>
  <si>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</si>
  <si>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</si>
  <si>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</si>
  <si>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</si>
  <si>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</si>
  <si>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</si>
  <si>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</si>
  <si>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</si>
  <si>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</si>
  <si>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</si>
  <si>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</si>
  <si>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</si>
  <si>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</si>
  <si>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</si>
  <si>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</si>
  <si>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</si>
  <si>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</si>
  <si>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</si>
  <si>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</si>
  <si>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</si>
  <si>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</si>
  <si>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</si>
  <si>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</si>
  <si>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</si>
  <si>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</si>
  <si>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</si>
  <si>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</si>
  <si>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</si>
  <si>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</si>
  <si>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</si>
  <si>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</si>
  <si>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</si>
  <si>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</si>
  <si>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</si>
  <si>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</si>
  <si>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</si>
  <si>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</si>
  <si>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</si>
  <si>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</si>
  <si>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</si>
  <si>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</si>
  <si>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</si>
  <si>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</si>
  <si>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</si>
  <si>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</si>
  <si>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</si>
  <si>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</si>
  <si>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</si>
  <si>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</si>
  <si>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</si>
  <si>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</si>
  <si>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</si>
  <si>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</si>
  <si>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</si>
  <si>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</si>
  <si>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</si>
  <si>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</si>
  <si>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</si>
  <si>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</si>
  <si>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</si>
  <si>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</si>
  <si>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</si>
  <si>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</si>
  <si>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</si>
  <si>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</si>
  <si>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</si>
  <si>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</si>
  <si>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</si>
  <si>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</si>
  <si>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</si>
  <si>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</si>
  <si>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</si>
  <si>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</si>
  <si>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</si>
  <si>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</si>
  <si>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</si>
  <si>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</si>
  <si>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</si>
  <si>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</si>
  <si>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</si>
  <si>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</si>
  <si>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</si>
  <si>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</si>
  <si>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</si>
  <si>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</si>
  <si>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</si>
  <si>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</si>
  <si>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</si>
  <si>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</si>
  <si>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</si>
  <si>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</si>
  <si>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</si>
  <si>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</si>
  <si>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</si>
  <si>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</si>
  <si>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</si>
  <si>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</si>
  <si>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</si>
  <si>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</si>
  <si>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</si>
  <si>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</si>
  <si>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</si>
  <si>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</si>
  <si>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</si>
  <si>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</si>
  <si>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</si>
  <si>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</si>
  <si>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</si>
  <si>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</si>
  <si>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</si>
  <si>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</si>
  <si>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</si>
  <si>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</si>
  <si>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</si>
  <si>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</si>
  <si>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</si>
  <si>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</si>
  <si>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</si>
  <si>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</si>
  <si>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</si>
  <si>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</si>
  <si>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</si>
  <si>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</si>
  <si>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</si>
  <si>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</si>
  <si>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</si>
  <si>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</si>
  <si>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</si>
  <si>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</si>
  <si>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</si>
  <si>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</si>
  <si>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</si>
  <si>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</si>
  <si>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</si>
  <si>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</si>
  <si>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</si>
  <si>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</si>
  <si>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</si>
  <si>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</si>
  <si>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</si>
  <si>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</si>
  <si>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</si>
  <si>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</si>
  <si>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</si>
  <si>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</si>
  <si>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</si>
  <si>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</si>
  <si>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</si>
  <si>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</si>
  <si>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</si>
  <si>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</si>
  <si>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</si>
  <si>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</si>
  <si>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</si>
  <si>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</si>
  <si>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</si>
  <si>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</si>
  <si>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</si>
  <si>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</si>
  <si>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</si>
  <si>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</si>
  <si>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</si>
  <si>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</si>
  <si>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</si>
  <si>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</si>
  <si>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</si>
  <si>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</si>
  <si>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</si>
  <si>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</si>
  <si>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</si>
  <si>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</si>
  <si>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</si>
  <si>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</si>
  <si>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</si>
  <si>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</si>
  <si>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</si>
  <si>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</si>
  <si>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</si>
  <si>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</si>
  <si>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</si>
  <si>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</si>
  <si>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</si>
  <si>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</si>
  <si>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</si>
  <si>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</si>
  <si>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</si>
  <si>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</si>
  <si>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</si>
  <si>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</si>
  <si>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</si>
  <si>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</si>
  <si>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</si>
  <si>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</si>
  <si>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</si>
  <si>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</si>
  <si>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</si>
  <si>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</si>
  <si>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</si>
  <si>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</si>
  <si>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</si>
  <si>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</si>
  <si>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</si>
  <si>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</si>
  <si>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</si>
  <si>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</si>
  <si>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</si>
  <si>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</si>
  <si>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</si>
  <si>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</si>
  <si>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</si>
  <si>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</si>
  <si>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</si>
  <si>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</si>
  <si>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</si>
  <si>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</si>
  <si>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</si>
  <si>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</si>
  <si>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</si>
  <si>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</si>
  <si>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</si>
  <si>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</si>
  <si>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</si>
  <si>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</si>
  <si>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</si>
  <si>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</si>
  <si>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</si>
  <si>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</si>
  <si>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</si>
  <si>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</si>
  <si>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</si>
  <si>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</si>
  <si>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</si>
  <si>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</si>
  <si>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</si>
  <si>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</si>
  <si>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</si>
  <si>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</si>
  <si>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</si>
  <si>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</si>
  <si>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</si>
  <si>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</si>
  <si>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</si>
  <si>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</si>
  <si>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</si>
  <si>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</si>
  <si>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</si>
  <si>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</si>
  <si>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</si>
  <si>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</si>
  <si>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</si>
  <si>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</si>
  <si>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</si>
  <si>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</si>
  <si>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</si>
  <si>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</si>
  <si>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</si>
  <si>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</si>
  <si>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</si>
  <si>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</si>
  <si>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</si>
  <si>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</si>
  <si>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</si>
  <si>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</si>
  <si>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</si>
  <si>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</si>
  <si>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</si>
  <si>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</si>
  <si>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</si>
  <si>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</si>
  <si>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</si>
  <si>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</si>
  <si>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</si>
  <si>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</si>
  <si>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</si>
  <si>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</si>
  <si>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</si>
  <si>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</si>
  <si>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</si>
  <si>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</si>
  <si>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</si>
  <si>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</si>
  <si>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</si>
  <si>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</si>
  <si>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</si>
  <si>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</si>
  <si>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</si>
  <si>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</si>
  <si>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</si>
  <si>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</si>
  <si>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</si>
  <si>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</si>
  <si>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</si>
  <si>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</si>
  <si>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</si>
  <si>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</si>
  <si>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</si>
  <si>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</si>
  <si>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</si>
  <si>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</si>
  <si>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</si>
  <si>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</si>
  <si>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</si>
  <si>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</si>
  <si>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</si>
  <si>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</si>
  <si>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</si>
  <si>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</si>
  <si>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</si>
  <si>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</si>
  <si>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</si>
  <si>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</si>
  <si>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</si>
  <si>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</si>
  <si>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</si>
  <si>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</si>
  <si>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</si>
  <si>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</si>
  <si>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</si>
  <si>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</si>
  <si>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</si>
  <si>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</si>
  <si>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</si>
  <si>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</si>
  <si>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</si>
  <si>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</si>
  <si>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</si>
  <si>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</si>
  <si>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</si>
  <si>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</si>
  <si>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</si>
  <si>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</si>
  <si>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</si>
  <si>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</si>
  <si>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</si>
  <si>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</si>
  <si>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</si>
  <si>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</si>
  <si>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</si>
  <si>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</si>
  <si>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</si>
  <si>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</si>
  <si>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</si>
  <si>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</si>
  <si>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</si>
  <si>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</si>
  <si>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</si>
  <si>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</si>
  <si>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</si>
  <si>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</si>
  <si>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</si>
  <si>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</si>
  <si>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</si>
  <si>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</si>
  <si>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</si>
  <si>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</si>
  <si>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</si>
  <si>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</si>
  <si>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</si>
  <si>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</si>
  <si>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</si>
  <si>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</si>
  <si>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</si>
  <si>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</si>
  <si>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</si>
  <si>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</si>
  <si>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</si>
  <si>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</si>
  <si>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</si>
  <si>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</si>
  <si>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</si>
  <si>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</si>
  <si>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</si>
  <si>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</si>
  <si>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</si>
  <si>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</si>
  <si>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</si>
  <si>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</si>
  <si>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</si>
  <si>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</si>
  <si>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</si>
  <si>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</si>
  <si>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</si>
  <si>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</si>
  <si>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</si>
  <si>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</si>
  <si>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</si>
  <si>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</si>
  <si>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</si>
  <si>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</si>
  <si>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</si>
  <si>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</si>
  <si>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</si>
  <si>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</si>
  <si>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</si>
  <si>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</si>
  <si>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</si>
  <si>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</si>
  <si>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</si>
  <si>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</si>
  <si>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</si>
  <si>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</si>
  <si>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</si>
  <si>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</si>
  <si>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</si>
  <si>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</si>
  <si>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</si>
  <si>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</si>
  <si>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</si>
  <si>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</si>
  <si>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</si>
  <si>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</si>
  <si>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</si>
  <si>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</si>
  <si>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</si>
  <si>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</si>
  <si>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</si>
  <si>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</si>
  <si>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</si>
  <si>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</si>
  <si>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</si>
  <si>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</si>
  <si>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</si>
  <si>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</si>
  <si>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</si>
  <si>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</si>
  <si>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</si>
  <si>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</si>
  <si>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</si>
  <si>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</si>
  <si>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</si>
  <si>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</si>
  <si>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</si>
  <si>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</si>
  <si>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</si>
  <si>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</si>
  <si>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</si>
  <si>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</si>
  <si>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</si>
  <si>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</si>
  <si>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</si>
  <si>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</si>
  <si>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</si>
  <si>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</si>
  <si>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</si>
  <si>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</si>
  <si>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</si>
  <si>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</si>
  <si>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</si>
  <si>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</si>
  <si>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</si>
  <si>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</si>
  <si>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</si>
  <si>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</si>
  <si>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</si>
  <si>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</si>
  <si>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</si>
  <si>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</si>
  <si>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</si>
  <si>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</si>
  <si>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</si>
  <si>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</si>
  <si>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</si>
  <si>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</si>
  <si>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</si>
  <si>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</si>
  <si>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</si>
  <si>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</si>
  <si>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</si>
  <si>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</si>
  <si>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</si>
  <si>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</si>
  <si>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</si>
  <si>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</si>
  <si>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</si>
  <si>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</si>
  <si>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</si>
  <si>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</si>
  <si>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</si>
  <si>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</si>
  <si>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</si>
  <si>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</si>
  <si>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</si>
  <si>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</si>
  <si>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</si>
  <si>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</si>
  <si>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</si>
  <si>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</si>
  <si>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</si>
  <si>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</si>
  <si>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</si>
  <si>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</si>
  <si>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</si>
  <si>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</si>
  <si>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</si>
  <si>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</si>
  <si>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</si>
  <si>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</si>
  <si>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</si>
  <si>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</si>
  <si>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</si>
  <si>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</si>
  <si>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</si>
  <si>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</si>
  <si>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</si>
  <si>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</si>
  <si>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</si>
  <si>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</si>
  <si>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</si>
  <si>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</si>
  <si>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</si>
  <si>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</si>
  <si>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</si>
  <si>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</si>
  <si>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</si>
  <si>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</si>
  <si>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</si>
  <si>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</si>
  <si>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</si>
  <si>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</si>
  <si>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</si>
  <si>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</si>
  <si>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</si>
  <si>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</si>
  <si>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</si>
  <si>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</si>
  <si>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</si>
  <si>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</si>
  <si>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</si>
  <si>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</si>
  <si>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</si>
  <si>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</si>
  <si>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</si>
  <si>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</si>
  <si>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</si>
  <si>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</si>
  <si>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</si>
  <si>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</si>
  <si>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</si>
  <si>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</si>
  <si>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</si>
  <si>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</si>
  <si>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</si>
  <si>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</si>
  <si>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</si>
  <si>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</si>
  <si>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</si>
  <si>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</si>
  <si>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</si>
  <si>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</si>
  <si>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</si>
  <si>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</si>
  <si>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</si>
  <si>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</si>
  <si>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</si>
  <si>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</si>
  <si>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</si>
  <si>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</si>
  <si>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</si>
  <si>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</si>
  <si>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</si>
  <si>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</si>
  <si>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</si>
  <si>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</si>
  <si>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</si>
  <si>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</si>
  <si>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</si>
  <si>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</si>
  <si>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</si>
  <si>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</si>
  <si>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</si>
  <si>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</si>
  <si>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</si>
  <si>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</si>
  <si>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</si>
  <si>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</si>
  <si>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</si>
  <si>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</si>
  <si>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</si>
  <si>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</si>
  <si>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</si>
  <si>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</si>
  <si>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</si>
  <si>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</si>
  <si>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</si>
  <si>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</si>
  <si>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</si>
  <si>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</si>
  <si>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</si>
  <si>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</si>
  <si>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</si>
  <si>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</si>
  <si>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</si>
  <si>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</si>
  <si>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</si>
  <si>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</si>
  <si>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</si>
  <si>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</si>
  <si>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</si>
  <si>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</si>
  <si>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</si>
  <si>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</si>
  <si>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</si>
  <si>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</si>
  <si>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</si>
  <si>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</si>
  <si>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</si>
  <si>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</si>
  <si>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</si>
  <si>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</si>
  <si>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</si>
  <si>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</si>
  <si>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</si>
  <si>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</si>
  <si>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</si>
  <si>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</si>
  <si>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</si>
  <si>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</si>
  <si>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</si>
  <si>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</si>
  <si>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</si>
  <si>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</si>
  <si>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</si>
  <si>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</si>
  <si>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</si>
  <si>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</si>
  <si>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</si>
  <si>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</si>
  <si>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</si>
  <si>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</si>
  <si>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</si>
  <si>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</si>
  <si>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</si>
  <si>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</si>
  <si>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</si>
  <si>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</si>
  <si>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</si>
  <si>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</si>
  <si>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</si>
  <si>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</si>
  <si>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</si>
  <si>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</si>
  <si>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</si>
  <si>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</si>
  <si>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</si>
  <si>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</si>
  <si>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</si>
  <si>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</si>
  <si>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</si>
  <si>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</si>
  <si>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</si>
  <si>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</si>
  <si>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</si>
  <si>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</si>
  <si>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</si>
  <si>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</si>
  <si>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</si>
  <si>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</si>
  <si>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</si>
  <si>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</si>
  <si>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</si>
  <si>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</si>
  <si>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</si>
  <si>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</si>
  <si>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</si>
  <si>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</si>
  <si>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</si>
  <si>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</si>
  <si>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</si>
  <si>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</si>
  <si>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</si>
  <si>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</si>
  <si>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</si>
  <si>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</si>
  <si>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</si>
  <si>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</si>
  <si>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</si>
  <si>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</si>
  <si>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</si>
  <si>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</si>
  <si>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</si>
  <si>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</si>
  <si>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</si>
  <si>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</si>
  <si>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</si>
  <si>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</si>
  <si>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</si>
  <si>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</si>
  <si>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</si>
  <si>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</si>
  <si>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</si>
  <si>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</si>
  <si>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</si>
  <si>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</si>
  <si>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</si>
  <si>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</si>
  <si>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</si>
  <si>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</si>
  <si>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</si>
  <si>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</si>
  <si>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</si>
  <si>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</si>
  <si>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</si>
  <si>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</si>
  <si>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</si>
  <si>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</si>
  <si>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</si>
  <si>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</si>
  <si>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</si>
  <si>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</si>
  <si>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</si>
  <si>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</si>
  <si>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</si>
  <si>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</si>
  <si>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</si>
  <si>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</si>
  <si>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</si>
  <si>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</si>
  <si>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</si>
  <si>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</si>
  <si>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</si>
  <si>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</si>
  <si>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</si>
  <si>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</si>
  <si>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</si>
  <si>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</si>
  <si>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</si>
  <si>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</si>
  <si>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</si>
  <si>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</si>
  <si>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</si>
  <si>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</si>
  <si>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</si>
  <si>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</si>
  <si>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</si>
  <si>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</si>
  <si>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</si>
  <si>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</si>
  <si>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</si>
  <si>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</si>
  <si>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</si>
  <si>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</si>
  <si>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</si>
  <si>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</si>
  <si>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</si>
  <si>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</si>
  <si>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</si>
  <si>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</si>
  <si>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</si>
  <si>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</si>
  <si>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</si>
  <si>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</si>
  <si>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</si>
  <si>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</si>
  <si>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</si>
  <si>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</si>
  <si>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</si>
  <si>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</si>
  <si>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</si>
  <si>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</si>
  <si>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</si>
  <si>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</si>
  <si>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</si>
  <si>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</si>
  <si>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</si>
  <si>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</si>
  <si>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</si>
  <si>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</si>
  <si>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</si>
  <si>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</si>
  <si>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</si>
  <si>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</si>
  <si>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</si>
  <si>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</si>
  <si>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</si>
  <si>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</si>
  <si>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</si>
  <si>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</si>
  <si>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</si>
  <si>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</si>
  <si>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</si>
  <si>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</si>
  <si>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</si>
  <si>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</si>
  <si>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</si>
  <si>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</si>
  <si>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</si>
  <si>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</si>
  <si>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</si>
  <si>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</si>
  <si>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</si>
  <si>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</si>
  <si>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</si>
  <si>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</si>
  <si>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</si>
  <si>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</si>
  <si>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</si>
  <si>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</si>
  <si>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</si>
  <si>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</si>
  <si>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</si>
  <si>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</si>
  <si>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</si>
  <si>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</si>
  <si>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</si>
  <si>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</si>
  <si>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</si>
  <si>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</si>
  <si>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</si>
  <si>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</si>
  <si>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</si>
  <si>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</si>
  <si>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</si>
  <si>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</si>
  <si>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</si>
  <si>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</si>
  <si>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</si>
  <si>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</si>
  <si>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</si>
  <si>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</si>
  <si>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</si>
  <si>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</si>
  <si>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</si>
  <si>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</si>
  <si>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</si>
  <si>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</si>
  <si>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</si>
  <si>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</si>
  <si>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</si>
  <si>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</si>
  <si>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</si>
  <si>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</si>
  <si>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</si>
  <si>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</si>
  <si>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</si>
  <si>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</si>
  <si>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</si>
  <si>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</si>
  <si>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</si>
  <si>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</si>
  <si>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</si>
  <si>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</si>
  <si>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</si>
  <si>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</si>
  <si>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</si>
  <si>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</si>
  <si>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</si>
  <si>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</si>
  <si>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</si>
  <si>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</si>
  <si>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</si>
  <si>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</si>
  <si>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</si>
  <si>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</si>
  <si>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</si>
  <si>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</si>
  <si>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</si>
  <si>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</si>
  <si>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</si>
  <si>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</si>
  <si>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</si>
  <si>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</si>
  <si>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</si>
  <si>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</si>
  <si>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</si>
  <si>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</si>
  <si>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</si>
  <si>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</si>
  <si>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</si>
  <si>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</si>
  <si>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</si>
  <si>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</si>
  <si>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</si>
  <si>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</si>
  <si>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</si>
  <si>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</si>
  <si>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</si>
  <si>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</si>
  <si>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</si>
  <si>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</si>
  <si>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</si>
  <si>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</si>
  <si>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</si>
  <si>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</si>
  <si>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</si>
  <si>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</si>
  <si>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</si>
  <si>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</si>
  <si>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</si>
  <si>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</si>
  <si>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</si>
  <si>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</si>
  <si>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</si>
  <si>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</si>
  <si>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</si>
  <si>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</si>
  <si>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</si>
  <si>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</si>
  <si>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</si>
  <si>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</si>
  <si>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</si>
  <si>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</si>
  <si>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</si>
  <si>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</si>
  <si>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</si>
  <si>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</si>
  <si>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</si>
  <si>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</si>
  <si>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</si>
  <si>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</si>
  <si>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</si>
  <si>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</si>
  <si>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</si>
  <si>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</si>
  <si>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</si>
  <si>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</si>
  <si>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</si>
  <si>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</si>
  <si>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</si>
  <si>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</si>
  <si>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</si>
  <si>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</si>
  <si>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</si>
  <si>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</si>
  <si>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</si>
  <si>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</si>
  <si>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</si>
  <si>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</si>
  <si>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</si>
  <si>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</si>
  <si>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</si>
  <si>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</si>
  <si>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</si>
  <si>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</si>
  <si>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</si>
  <si>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</si>
  <si>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</si>
  <si>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</si>
  <si>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</si>
  <si>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</si>
  <si>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</si>
  <si>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</si>
  <si>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</si>
  <si>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</si>
  <si>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</si>
  <si>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</si>
  <si>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</si>
  <si>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</si>
  <si>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</si>
  <si>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</si>
  <si>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</si>
  <si>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</si>
  <si>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</si>
  <si>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</si>
  <si>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</si>
  <si>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</si>
  <si>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</si>
  <si>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</si>
  <si>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</si>
  <si>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</si>
  <si>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</si>
  <si>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</si>
  <si>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</si>
  <si>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</si>
  <si>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</si>
  <si>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</si>
  <si>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</si>
  <si>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</si>
  <si>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</si>
  <si>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</si>
  <si>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</si>
  <si>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</si>
  <si>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</si>
  <si>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</si>
  <si>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</si>
  <si>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</si>
  <si>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</si>
  <si>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</si>
  <si>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</si>
  <si>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</si>
  <si>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</si>
  <si>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</si>
  <si>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</si>
  <si>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</si>
  <si>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</si>
  <si>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</si>
  <si>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</si>
  <si>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</si>
  <si>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</si>
  <si>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</si>
  <si>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</si>
  <si>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</si>
  <si>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</si>
  <si>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</si>
  <si>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</si>
  <si>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</si>
  <si>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</si>
  <si>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</si>
  <si>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</si>
  <si>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</si>
  <si>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</si>
  <si>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</si>
  <si>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</si>
  <si>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</si>
  <si>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</si>
  <si>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</si>
  <si>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</si>
  <si>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</si>
  <si>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</si>
  <si>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</si>
  <si>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</si>
  <si>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</si>
  <si>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</si>
  <si>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</si>
  <si>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</si>
  <si>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</si>
  <si>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</si>
  <si>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</si>
  <si>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</si>
  <si>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</si>
  <si>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</si>
  <si>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</si>
  <si>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</si>
  <si>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</si>
  <si>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</si>
  <si>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</si>
  <si>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</si>
  <si>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</si>
  <si>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</si>
  <si>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</si>
  <si>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</si>
  <si>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</si>
  <si>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</si>
  <si>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</si>
  <si>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</si>
  <si>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</si>
  <si>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</si>
  <si>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</si>
  <si>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</si>
  <si>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</si>
  <si>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</si>
  <si>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</si>
  <si>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</si>
  <si>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</si>
  <si>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</si>
  <si>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</si>
  <si>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</si>
  <si>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</si>
  <si>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</si>
  <si>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</si>
  <si>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</si>
  <si>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</si>
  <si>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</si>
  <si>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</si>
  <si>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</si>
  <si>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</si>
  <si>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</si>
  <si>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</si>
  <si>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</si>
  <si>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</si>
  <si>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</si>
  <si>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</si>
  <si>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</si>
  <si>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</si>
  <si>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</si>
  <si>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</si>
  <si>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</si>
  <si>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</si>
  <si>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</si>
  <si>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</si>
  <si>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</si>
  <si>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</si>
  <si>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</si>
  <si>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</si>
  <si>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</si>
  <si>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</si>
  <si>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</si>
  <si>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</si>
  <si>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</si>
  <si>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</si>
  <si>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</si>
  <si>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</si>
  <si>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</si>
  <si>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</si>
  <si>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</si>
  <si>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</si>
  <si>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</si>
  <si>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</si>
  <si>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</si>
  <si>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</si>
  <si>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</si>
  <si>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</si>
  <si>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</si>
  <si>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</si>
  <si>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</si>
  <si>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</si>
  <si>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</si>
  <si>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</si>
  <si>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</si>
  <si>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</si>
  <si>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</si>
  <si>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</si>
  <si>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</si>
  <si>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</si>
  <si>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</si>
  <si>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</si>
  <si>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</si>
  <si>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</si>
  <si>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</si>
  <si>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</si>
  <si>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</si>
  <si>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</si>
  <si>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</si>
  <si>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</si>
  <si>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</si>
  <si>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</si>
  <si>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</si>
  <si>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</si>
  <si>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</si>
  <si>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</si>
  <si>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</si>
  <si>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</si>
  <si>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</si>
  <si>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</si>
  <si>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</si>
  <si>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</si>
  <si>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</si>
  <si>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</si>
  <si>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</si>
  <si>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</si>
  <si>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</si>
  <si>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</si>
  <si>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</si>
  <si>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</si>
  <si>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</si>
  <si>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</si>
  <si>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</si>
  <si>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</si>
  <si>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</si>
  <si>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</si>
  <si>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</si>
  <si>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</si>
  <si>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</si>
  <si>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</si>
  <si>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</si>
  <si>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</si>
  <si>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</si>
  <si>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</si>
  <si>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</si>
  <si>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</si>
  <si>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</si>
  <si>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</si>
  <si>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</si>
  <si>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</si>
  <si>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Modern Greek (1453-)</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</si>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</sst>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data-and-publications/australias-national-hydrogen-strategy" TargetMode="External"/><Relationship Id="rId42" Type="http://schemas.openxmlformats.org/officeDocument/2006/relationships/hyperlink" Target="https://www.industry.gov.au/sites/default/files/October%202021/document/australias-long-term-emissions-reduction-plan.pdf" TargetMode="External"/><Relationship Id="rId41" Type="http://schemas.openxmlformats.org/officeDocument/2006/relationships/hyperlink" Target="https://www.industry.gov.au/sites/default/files/2019-11/australias-national-hydrogen-strategy.pdf" TargetMode="External"/><Relationship Id="rId44" Type="http://schemas.openxmlformats.org/officeDocument/2006/relationships/hyperlink" Target="https://www.industry.gov.au/data-and-publications/technology-investment-roadmap" TargetMode="External"/><Relationship Id="rId43" Type="http://schemas.openxmlformats.org/officeDocument/2006/relationships/hyperlink" Target="https://www.industry.gov.au/sites/default/files/October%202021/document/the-plan-to-deliver-net-zero-the-australian-way.pdf" TargetMode="External"/><Relationship Id="rId46" Type="http://schemas.openxmlformats.org/officeDocument/2006/relationships/hyperlink" Target="https://www.industry.gov.au/sites/default/files/September%202020/document/first-low-emissions-technology-statement-2020.pdf" TargetMode="External"/><Relationship Id="rId45" Type="http://schemas.openxmlformats.org/officeDocument/2006/relationships/hyperlink" Target="https://www.industry.gov.au/sites/default/files/November%202021/document/low-emissions-technology-statement-2021.pdf" TargetMode="External"/><Relationship Id="rId107"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6"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5"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4"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9"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108" Type="http://schemas.openxmlformats.org/officeDocument/2006/relationships/hyperlink" Target="https://www.in.gov.br/web/guest/materia/-/asset_publisher/Kujrw0TZC2Mb/content/id/22804297/do1-2016-05-11-portaria-n-150-de-10-de-maio-de-2016-22804223" TargetMode="External"/><Relationship Id="rId48" Type="http://schemas.openxmlformats.org/officeDocument/2006/relationships/hyperlink" Target="https://www.ris.bka.gv.at/GeltendeFassung.wxe?Abfrage=Bundesnormen&amp;Gesetzesnummer=20007500" TargetMode="External"/><Relationship Id="rId47" Type="http://schemas.openxmlformats.org/officeDocument/2006/relationships/hyperlink" Target="https://www.ris.bka.gv.at/GeltendeFassung.wxe?Abfrage=Bundesnormen&amp;Gesetzesnummer=20007500%7Cde" TargetMode="External"/><Relationship Id="rId49" Type="http://schemas.openxmlformats.org/officeDocument/2006/relationships/hyperlink" Target="https://rdb.manz.at/document/ris.c.BGBl__I_Nr__58_2017" TargetMode="External"/><Relationship Id="rId103" Type="http://schemas.openxmlformats.org/officeDocument/2006/relationships/hyperlink" Target="http://www.in.gov.br/en/web/dou/-/portaria-n-288-de-2-de-julho-de-2020-264916875" TargetMode="External"/><Relationship Id="rId102" Type="http://schemas.openxmlformats.org/officeDocument/2006/relationships/hyperlink" Target="http://www.planalto.gov.br/ccivil_03/_Ato2011-2014/2012/Lei/L12651.htm" TargetMode="External"/><Relationship Id="rId101" Type="http://schemas.openxmlformats.org/officeDocument/2006/relationships/hyperlink" Target="https://www.normasbrasil.com.br/norma/resolucao-9-2009_111350.html" TargetMode="External"/><Relationship Id="rId100" Type="http://schemas.openxmlformats.org/officeDocument/2006/relationships/hyperlink" Target="https://www.gov.br/mcti/pt-br/acompanhe-o-mcti/cgcl/clima/arquivos/autoridade-nacional-designada-para-o-mdl/resolucao-no-1-de-11-de-setembro-de-2003.pdf" TargetMode="External"/><Relationship Id="rId31"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0"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33" Type="http://schemas.openxmlformats.org/officeDocument/2006/relationships/hyperlink" Target="https://mineconomy.am/media/10032/MijocarumneriTsragir_Angleren.pdf" TargetMode="External"/><Relationship Id="rId32" Type="http://schemas.openxmlformats.org/officeDocument/2006/relationships/hyperlink" Target="https://mineconomy.am/media/10033/Razmavarutyun_Hamarotagir_Angleren.pdf" TargetMode="External"/><Relationship Id="rId35"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4" Type="http://schemas.openxmlformats.org/officeDocument/2006/relationships/hyperlink" Target="http://extwprlegs1.fao.org/docs/pdf/arm137939E.pdf" TargetMode="External"/><Relationship Id="rId37" Type="http://schemas.openxmlformats.org/officeDocument/2006/relationships/hyperlink" Target="https://www.industry.gov.au/funding-and-incentives/emissions-reduction-fund" TargetMode="External"/><Relationship Id="rId36" Type="http://schemas.openxmlformats.org/officeDocument/2006/relationships/hyperlink" Target="https://www.legislation.gov.au/Details/C2016C00155" TargetMode="External"/><Relationship Id="rId39"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38" Type="http://schemas.openxmlformats.org/officeDocument/2006/relationships/hyperlink" Target="https://www.environment.gov.au/system/files/resources/d98b3e53-146b-4b9c-a84a-2a22454b9a83/files/reef-2050-long-term-sustainability-plan.pdf" TargetMode="External"/><Relationship Id="rId20"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22"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1"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4"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23"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29" Type="http://schemas.openxmlformats.org/officeDocument/2006/relationships/vmlDrawing" Target="../drawings/vmlDrawing1.vml"/><Relationship Id="rId128" Type="http://schemas.openxmlformats.org/officeDocument/2006/relationships/drawing" Target="../drawings/drawing13.xml"/><Relationship Id="rId127"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126" Type="http://schemas.openxmlformats.org/officeDocument/2006/relationships/hyperlink" Target="http://www.planalto.gov.br/ccivil_03/_Ato2019-2022/2022/Decreto/D10936.htm" TargetMode="External"/><Relationship Id="rId26"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1" Type="http://schemas.openxmlformats.org/officeDocument/2006/relationships/hyperlink" Target="https://www.rota2030.com.br/" TargetMode="External"/><Relationship Id="rId25" Type="http://schemas.openxmlformats.org/officeDocument/2006/relationships/hyperlink" Target="https://www.argentina.gob.ar/normativa/nacional/decreto-531-2016-259883" TargetMode="External"/><Relationship Id="rId120" Type="http://schemas.openxmlformats.org/officeDocument/2006/relationships/hyperlink" Target="http://www.planalto.gov.br/ccivil_03/_ato2015-2018/2018/lei/L13755.htm" TargetMode="External"/><Relationship Id="rId28" Type="http://schemas.openxmlformats.org/officeDocument/2006/relationships/hyperlink" Target="https://www.boletinoficial.gob.ar/detalleAviso/primera/211142/20190711" TargetMode="External"/><Relationship Id="rId27"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www.boletinoficial.gob.ar/detalleAviso/primera/213104/20190808" TargetMode="External"/><Relationship Id="rId124" Type="http://schemas.openxmlformats.org/officeDocument/2006/relationships/hyperlink" Target="http://www.planalto.gov.br/ccivil_03/_ato2007-2010/2010/lei/l12305.htm" TargetMode="External"/><Relationship Id="rId123" Type="http://schemas.openxmlformats.org/officeDocument/2006/relationships/hyperlink" Target="http://www.ibama.gov.br/sophia/cnia/legislacao/IBAMA/IN0012-231110.PDF" TargetMode="External"/><Relationship Id="rId122" Type="http://schemas.openxmlformats.org/officeDocument/2006/relationships/hyperlink" Target="http://www.planalto.gov.br/ccivil_03/_ato2015-2018/2017/decreto/D9172.htm" TargetMode="External"/><Relationship Id="rId95" Type="http://schemas.openxmlformats.org/officeDocument/2006/relationships/hyperlink" Target="https://www.epe.gov.br/sites-pt/publicacoes-dados-abertos/publicacoes/PublicacoesArquivos/publicacao-227/topico-563/PNE%202050%20-%20Anexo.pdf" TargetMode="External"/><Relationship Id="rId94"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7" Type="http://schemas.openxmlformats.org/officeDocument/2006/relationships/hyperlink" Target="http://www.lse.ac.uk/GranthamInstitute/wp-content/uploads/laws/1100.pdf" TargetMode="External"/><Relationship Id="rId96" Type="http://schemas.openxmlformats.org/officeDocument/2006/relationships/hyperlink" Target="https://www.epe.gov.br/sites-pt/publicacoes-dados-abertos/publicacoes/PublicacoesArquivos/publicacao-227/topico-563/Relatorio%20Final%20do%20PNE%202050.pdf" TargetMode="External"/><Relationship Id="rId11" Type="http://schemas.openxmlformats.org/officeDocument/2006/relationships/hyperlink" Target="https://www.bopa.ad/bopa/032029/Pagines/GD20200312_15_02_09.aspx" TargetMode="External"/><Relationship Id="rId99"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0" Type="http://schemas.openxmlformats.org/officeDocument/2006/relationships/hyperlink" Target="https://www.bopa.ad/bopa/031059/Pagines/GD20190628_09_11_13.aspx" TargetMode="External"/><Relationship Id="rId98"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13" Type="http://schemas.openxmlformats.org/officeDocument/2006/relationships/hyperlink" Target="https://www.bopa.ad/bopa/028067/Pagines/CGL20161109_11_13_11.aspx" TargetMode="External"/><Relationship Id="rId12"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1"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0" Type="http://schemas.openxmlformats.org/officeDocument/2006/relationships/hyperlink" Target="http://www.lse.ac.uk/GranthamInstitute/wp-content/uploads/laws/1093.pdf" TargetMode="External"/><Relationship Id="rId93"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92"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118" Type="http://schemas.openxmlformats.org/officeDocument/2006/relationships/hyperlink" Target="https://www.epe.gov.br/sites-en/publicacoes-dados-abertos/publicacoes/PublicacoesArquivos/publicacao-212/Executive%20Summary%20PDE%202029.pdf" TargetMode="External"/><Relationship Id="rId117" Type="http://schemas.openxmlformats.org/officeDocument/2006/relationships/hyperlink" Target="http://combateaodesmatamento.mma.gov.br/images/conteudo/Livro-PPCDam-e-PPCerrado_WEB_1.pdf" TargetMode="External"/><Relationship Id="rId116"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5" Type="http://schemas.openxmlformats.org/officeDocument/2006/relationships/hyperlink" Target="http://www.planalto.gov.br/ccivil_03/_Ato2015-2018/2016/Decreto/D8874.htm" TargetMode="External"/><Relationship Id="rId119" Type="http://schemas.openxmlformats.org/officeDocument/2006/relationships/hyperlink" Target="https://www.epe.gov.br/sites-pt/publicacoes-dados-abertos/publicacoes/Documents/PDE%202029.pdf" TargetMode="External"/><Relationship Id="rId15" Type="http://schemas.openxmlformats.org/officeDocument/2006/relationships/hyperlink" Target="https://www.bopa.ad/bopa/033016/Pagines/GSUB20210129_09_43_58.aspx" TargetMode="External"/><Relationship Id="rId110" Type="http://schemas.openxmlformats.org/officeDocument/2006/relationships/hyperlink" Target="http://www.planalto.gov.br/ccivil_03/_Ato2019-2022/2019/Decreto/D10143.htm" TargetMode="External"/><Relationship Id="rId14" Type="http://schemas.openxmlformats.org/officeDocument/2006/relationships/hyperlink" Target="https://www.bopa.ad/bopa/032016/Pagines/GD20200220_16_01_19.aspx" TargetMode="External"/><Relationship Id="rId17" Type="http://schemas.openxmlformats.org/officeDocument/2006/relationships/hyperlink" Target="http://laws.gov.ag/wp-content/uploads/2019/08/No.-10-of-2019-Environmental-Protection-and-Management-Bill-2019.pdf" TargetMode="External"/><Relationship Id="rId16"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9"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4" Type="http://schemas.openxmlformats.org/officeDocument/2006/relationships/hyperlink" Target="https://www.in.gov.br/en/web/dou/-/decreto-n-10.387-de-5-de-junho-de-2020-260391759" TargetMode="External"/><Relationship Id="rId18"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13" Type="http://schemas.openxmlformats.org/officeDocument/2006/relationships/hyperlink" Target="http://www.planalto.gov.br/ccivil_03/_ato2019-2022/2021/Decreto/D10845.htm"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19/Decreto/D10145.htm" TargetMode="External"/><Relationship Id="rId84" Type="http://schemas.openxmlformats.org/officeDocument/2006/relationships/hyperlink" Target="https://dermine.belgium.be/sites/default/files/articles/NL%20-%20Nationaal%20plan%20voor%20herstel%20een%20veerkracht_1.pdf" TargetMode="External"/><Relationship Id="rId83"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6"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5"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8" Type="http://schemas.openxmlformats.org/officeDocument/2006/relationships/hyperlink" Target="http://www.lse.ac.uk/GranthamInstitute/wp-content/uploads/laws/1092.pdf" TargetMode="External"/><Relationship Id="rId87"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9"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81" Type="http://schemas.openxmlformats.org/officeDocument/2006/relationships/hyperlink" Target="https://ec.europa.eu/info/business-economy-euro/recovery-coronavirus/recovery-and-resilience-facility/belgiums-recovery-and-resilience-plan_en"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3"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4"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9" Type="http://schemas.openxmlformats.org/officeDocument/2006/relationships/hyperlink" Target="https://www.bopa.ad/bopa/032029/Pagines/GD20200312_15_02_09.aspx" TargetMode="External"/><Relationship Id="rId5"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6"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7" Type="http://schemas.openxmlformats.org/officeDocument/2006/relationships/hyperlink" Target="https://www.bopa.ad/bopa/029020/Pagines/GD20170324_10_28_12.aspx" TargetMode="External"/><Relationship Id="rId8" Type="http://schemas.openxmlformats.org/officeDocument/2006/relationships/hyperlink" Target="https://www.bopa.ad/bopa/029018/Pagines/GD20170317_11_37_47.aspx" TargetMode="External"/><Relationship Id="rId73" Type="http://schemas.openxmlformats.org/officeDocument/2006/relationships/hyperlink" Target="http://www.ejustice.just.fgov.be/cgi_loi/change_lg.pl?language=fr&amp;la=F&amp;table_name=loi&amp;cn=1997050535%20%20%7Cfr" TargetMode="External"/><Relationship Id="rId72" Type="http://schemas.openxmlformats.org/officeDocument/2006/relationships/hyperlink" Target="http://www.ejustice.just.fgov.be/cgi/article_body.pl?language=fr&amp;pub_date=2019-05-24&amp;caller=summary&amp;numac=2019030491" TargetMode="External"/><Relationship Id="rId75" Type="http://schemas.openxmlformats.org/officeDocument/2006/relationships/hyperlink" Target="https://www.developpementdurable.be/fr/politique-federale/strategie-federale/instruments/le-plan-federal-de-developpement-durable" TargetMode="External"/><Relationship Id="rId74" Type="http://schemas.openxmlformats.org/officeDocument/2006/relationships/hyperlink" Target="http://www.ejustice.just.fgov.be/cgi_loi/change_lg.pl?language=fr&amp;la=F&amp;table_name=loi&amp;cn=1997050535%20%20" TargetMode="External"/><Relationship Id="rId77" Type="http://schemas.openxmlformats.org/officeDocument/2006/relationships/hyperlink" Target="https://ec.europa.eu/energy/sites/ener/files/documents/be_final_necp_partb_fr.pdf" TargetMode="External"/><Relationship Id="rId76" Type="http://schemas.openxmlformats.org/officeDocument/2006/relationships/hyperlink" Target="https://ec.europa.eu/energy/sites/ener/files/documents/be_final_necp_parta_fr.pdf" TargetMode="External"/><Relationship Id="rId79" Type="http://schemas.openxmlformats.org/officeDocument/2006/relationships/hyperlink" Target="https://ec.europa.eu/energy/sites/ener/files/documents/be_final_necp_partb_nl.pdf" TargetMode="External"/><Relationship Id="rId78" Type="http://schemas.openxmlformats.org/officeDocument/2006/relationships/hyperlink" Target="https://ec.europa.eu/energy/sites/ener/files/documents/be_final_necp_parta_nl.pdf" TargetMode="External"/><Relationship Id="rId71" Type="http://schemas.openxmlformats.org/officeDocument/2006/relationships/hyperlink" Target="http://www.ejustice.just.fgov.be/cgi/article_body.pl?language=fr&amp;pub_date=2019-05-24&amp;caller=summary&amp;numac=2019030491%7Cfr" TargetMode="External"/><Relationship Id="rId70" Type="http://schemas.openxmlformats.org/officeDocument/2006/relationships/hyperlink" Target="http://www.lse.ac.uk/GranthamInstitute/wp-content/uploads/laws/1079.pdf" TargetMode="External"/><Relationship Id="rId62"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1" Type="http://schemas.openxmlformats.org/officeDocument/2006/relationships/hyperlink" Target="http://www.lse.ac.uk/GranthamInstitute/wp-content/uploads/laws/1059.pdf" TargetMode="External"/><Relationship Id="rId64"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3"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6"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5"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8"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7" Type="http://schemas.openxmlformats.org/officeDocument/2006/relationships/hyperlink" Target="http://www.lse.ac.uk/GranthamInstitute/wp-content/uploads/laws/1073.pdf" TargetMode="External"/><Relationship Id="rId60" Type="http://schemas.openxmlformats.org/officeDocument/2006/relationships/hyperlink" Target="http://faolex.fao.org/docs/pdf/bah152956.pdf" TargetMode="External"/><Relationship Id="rId69" Type="http://schemas.openxmlformats.org/officeDocument/2006/relationships/hyperlink" Target="http://www.lse.ac.uk/GranthamInstitute/wp-content/uploads/laws/1079%20-%20modification%20in%202017.pdf" TargetMode="External"/><Relationship Id="rId51" Type="http://schemas.openxmlformats.org/officeDocument/2006/relationships/hyperlink" Target="https://ec.europa.eu/energy/sites/ener/files/documents/at_final_necp_main_de.pdf" TargetMode="External"/><Relationship Id="rId50" Type="http://schemas.openxmlformats.org/officeDocument/2006/relationships/hyperlink" Target="https://ec.europa.eu/energy/sites/ener/files/documents/at_final_necp_main_en.pdf" TargetMode="External"/><Relationship Id="rId53"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2" Type="http://schemas.openxmlformats.org/officeDocument/2006/relationships/hyperlink" Target="https://www.parlament.gv.at/PAKT/VHG/XXVI/A/A_00984/index.shtml" TargetMode="External"/><Relationship Id="rId55" Type="http://schemas.openxmlformats.org/officeDocument/2006/relationships/hyperlink" Target="https://www.bundeskanzleramt.gv.at/eu-aufbauplan/der-eu-aufbauplan.html" TargetMode="External"/><Relationship Id="rId54" Type="http://schemas.openxmlformats.org/officeDocument/2006/relationships/hyperlink" Target="https://www.parlament.gv.at/PAKT/VHG/XXVII/I/I_01293/index.shtml" TargetMode="External"/><Relationship Id="rId57"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6" Type="http://schemas.openxmlformats.org/officeDocument/2006/relationships/hyperlink" Target="https://data.consilium.europa.eu/doc/document/ST-10159-2021-COR-1/en/pdf" TargetMode="External"/><Relationship Id="rId59" Type="http://schemas.openxmlformats.org/officeDocument/2006/relationships/hyperlink" Target="http://extwprlegs1.fao.org/docs/pdf/bah89463.pdf" TargetMode="External"/><Relationship Id="rId58" Type="http://schemas.openxmlformats.org/officeDocument/2006/relationships/hyperlink" Target="https://data.consilium.europa.eu/doc/document/ST-10159-2021-ADD-1/en/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c r="A9" s="1">
        <v>9582.0</v>
      </c>
      <c r="B9" s="8" t="s">
        <v>44</v>
      </c>
      <c r="C9" s="2"/>
      <c r="D9" s="1" t="s">
        <v>16</v>
      </c>
      <c r="E9" s="1" t="s">
        <v>17</v>
      </c>
      <c r="F9" s="1" t="s">
        <v>45</v>
      </c>
      <c r="G9" s="1"/>
      <c r="H9" s="1">
        <v>2009.0</v>
      </c>
      <c r="I9" s="1" t="s">
        <v>24</v>
      </c>
      <c r="J9" s="1" t="s">
        <v>46</v>
      </c>
      <c r="K9" s="4" t="s">
        <v>47</v>
      </c>
      <c r="L9" s="1" t="s">
        <v>22</v>
      </c>
      <c r="N9" s="1" t="s">
        <v>48</v>
      </c>
      <c r="O9" s="7"/>
    </row>
    <row r="10">
      <c r="A10" s="1">
        <v>9589.0</v>
      </c>
      <c r="B10" s="2" t="s">
        <v>49</v>
      </c>
      <c r="C10" s="2"/>
      <c r="D10" s="1" t="s">
        <v>16</v>
      </c>
      <c r="E10" s="1" t="s">
        <v>17</v>
      </c>
      <c r="F10" s="1" t="s">
        <v>34</v>
      </c>
      <c r="G10" s="1"/>
      <c r="H10" s="1">
        <v>2014.0</v>
      </c>
      <c r="I10" s="1" t="s">
        <v>24</v>
      </c>
      <c r="J10" s="1" t="s">
        <v>50</v>
      </c>
      <c r="K10" s="4" t="s">
        <v>51</v>
      </c>
      <c r="L10" s="1" t="s">
        <v>22</v>
      </c>
      <c r="N10" s="1" t="s">
        <v>23</v>
      </c>
    </row>
    <row r="1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c r="A16" s="1">
        <v>1361.0</v>
      </c>
      <c r="B16" s="2" t="s">
        <v>67</v>
      </c>
      <c r="C16" s="2"/>
      <c r="D16" s="1" t="s">
        <v>68</v>
      </c>
      <c r="E16" s="1" t="s">
        <v>69</v>
      </c>
      <c r="F16" s="1" t="s">
        <v>45</v>
      </c>
      <c r="G16" s="1"/>
      <c r="H16" s="1">
        <v>1992.0</v>
      </c>
      <c r="I16" s="1" t="s">
        <v>24</v>
      </c>
      <c r="J16" s="1" t="s">
        <v>70</v>
      </c>
      <c r="K16" s="4" t="s">
        <v>71</v>
      </c>
      <c r="L16" s="1" t="s">
        <v>22</v>
      </c>
      <c r="N16" s="1" t="s">
        <v>23</v>
      </c>
    </row>
    <row r="17">
      <c r="A17" s="1">
        <v>1361.0</v>
      </c>
      <c r="B17" s="2" t="s">
        <v>72</v>
      </c>
      <c r="C17" s="2"/>
      <c r="D17" s="1" t="s">
        <v>68</v>
      </c>
      <c r="E17" s="1" t="s">
        <v>69</v>
      </c>
      <c r="F17" s="1" t="s">
        <v>45</v>
      </c>
      <c r="G17" s="1"/>
      <c r="H17" s="1">
        <v>2013.0</v>
      </c>
      <c r="I17" s="1" t="s">
        <v>24</v>
      </c>
      <c r="J17" s="1" t="s">
        <v>73</v>
      </c>
      <c r="K17" s="4" t="s">
        <v>74</v>
      </c>
      <c r="L17" s="1" t="s">
        <v>22</v>
      </c>
      <c r="N17" s="1" t="s">
        <v>23</v>
      </c>
    </row>
    <row r="18">
      <c r="A18" s="1">
        <v>1369.0</v>
      </c>
      <c r="B18" s="2" t="s">
        <v>75</v>
      </c>
      <c r="C18" s="2"/>
      <c r="D18" s="1" t="s">
        <v>68</v>
      </c>
      <c r="E18" s="1" t="s">
        <v>69</v>
      </c>
      <c r="F18" s="1" t="s">
        <v>45</v>
      </c>
      <c r="G18" s="1"/>
      <c r="H18" s="1">
        <v>2001.0</v>
      </c>
      <c r="I18" s="1" t="s">
        <v>24</v>
      </c>
      <c r="J18" s="1" t="s">
        <v>76</v>
      </c>
      <c r="K18" s="4" t="s">
        <v>77</v>
      </c>
      <c r="L18" s="1" t="s">
        <v>22</v>
      </c>
      <c r="N18" s="1" t="s">
        <v>23</v>
      </c>
    </row>
    <row r="19">
      <c r="A19" s="1">
        <v>1369.0</v>
      </c>
      <c r="B19" s="2" t="s">
        <v>78</v>
      </c>
      <c r="C19" s="2"/>
      <c r="D19" s="1" t="s">
        <v>68</v>
      </c>
      <c r="E19" s="1" t="s">
        <v>69</v>
      </c>
      <c r="F19" s="1" t="s">
        <v>45</v>
      </c>
      <c r="G19" s="1"/>
      <c r="H19" s="1">
        <v>2013.0</v>
      </c>
      <c r="I19" s="1" t="s">
        <v>24</v>
      </c>
      <c r="J19" s="1" t="s">
        <v>79</v>
      </c>
      <c r="K19" s="4" t="s">
        <v>80</v>
      </c>
      <c r="L19" s="1" t="s">
        <v>22</v>
      </c>
      <c r="N19" s="1" t="s">
        <v>23</v>
      </c>
    </row>
    <row r="20">
      <c r="A20" s="1">
        <v>2024.0</v>
      </c>
      <c r="B20" s="2" t="s">
        <v>81</v>
      </c>
      <c r="C20" s="2"/>
      <c r="D20" s="1" t="s">
        <v>68</v>
      </c>
      <c r="E20" s="1" t="s">
        <v>69</v>
      </c>
      <c r="F20" s="1" t="s">
        <v>45</v>
      </c>
      <c r="G20" s="1"/>
      <c r="H20" s="1">
        <v>2015.0</v>
      </c>
      <c r="I20" s="1" t="s">
        <v>24</v>
      </c>
      <c r="J20" s="1" t="s">
        <v>82</v>
      </c>
      <c r="K20" s="4" t="s">
        <v>83</v>
      </c>
      <c r="L20" s="1" t="s">
        <v>22</v>
      </c>
      <c r="N20" s="1" t="s">
        <v>23</v>
      </c>
    </row>
    <row r="21">
      <c r="A21" s="1">
        <v>2024.0</v>
      </c>
      <c r="B21" s="2" t="s">
        <v>84</v>
      </c>
      <c r="C21" s="2"/>
      <c r="D21" s="1" t="s">
        <v>68</v>
      </c>
      <c r="E21" s="1" t="s">
        <v>69</v>
      </c>
      <c r="F21" s="9" t="s">
        <v>85</v>
      </c>
      <c r="G21" s="1"/>
      <c r="H21" s="1">
        <v>2021.0</v>
      </c>
      <c r="I21" s="1" t="s">
        <v>24</v>
      </c>
      <c r="J21" s="1" t="s">
        <v>86</v>
      </c>
      <c r="K21" s="4" t="s">
        <v>87</v>
      </c>
      <c r="L21" s="1" t="s">
        <v>22</v>
      </c>
      <c r="N21" s="1" t="s">
        <v>23</v>
      </c>
    </row>
    <row r="22">
      <c r="A22" s="1">
        <v>2024.0</v>
      </c>
      <c r="B22" s="2" t="s">
        <v>88</v>
      </c>
      <c r="C22" s="2"/>
      <c r="D22" s="1" t="s">
        <v>68</v>
      </c>
      <c r="E22" s="1" t="s">
        <v>69</v>
      </c>
      <c r="F22" s="9" t="s">
        <v>89</v>
      </c>
      <c r="G22" s="1"/>
      <c r="H22" s="1">
        <v>2021.0</v>
      </c>
      <c r="I22" s="1" t="s">
        <v>24</v>
      </c>
      <c r="J22" s="1" t="s">
        <v>90</v>
      </c>
      <c r="K22" s="4" t="s">
        <v>91</v>
      </c>
      <c r="L22" s="1" t="s">
        <v>22</v>
      </c>
      <c r="N22" s="1" t="s">
        <v>92</v>
      </c>
    </row>
    <row r="23">
      <c r="A23" s="1">
        <v>10164.0</v>
      </c>
      <c r="B23" s="2" t="s">
        <v>93</v>
      </c>
      <c r="C23" s="2"/>
      <c r="D23" s="1" t="s">
        <v>68</v>
      </c>
      <c r="E23" s="1" t="s">
        <v>69</v>
      </c>
      <c r="F23" s="1" t="s">
        <v>45</v>
      </c>
      <c r="G23" s="1"/>
      <c r="H23" s="1">
        <v>2017.0</v>
      </c>
      <c r="I23" s="1" t="s">
        <v>24</v>
      </c>
      <c r="J23" s="1" t="s">
        <v>94</v>
      </c>
      <c r="K23" s="4" t="s">
        <v>95</v>
      </c>
      <c r="L23" s="1" t="s">
        <v>22</v>
      </c>
      <c r="N23" s="1" t="s">
        <v>23</v>
      </c>
    </row>
    <row r="24">
      <c r="A24" s="1">
        <v>10164.0</v>
      </c>
      <c r="B24" s="2" t="s">
        <v>96</v>
      </c>
      <c r="C24" s="2"/>
      <c r="D24" s="1" t="s">
        <v>68</v>
      </c>
      <c r="E24" s="1" t="s">
        <v>69</v>
      </c>
      <c r="F24" s="9" t="s">
        <v>85</v>
      </c>
      <c r="G24" s="1"/>
      <c r="H24" s="1">
        <v>2016.0</v>
      </c>
      <c r="I24" s="1" t="s">
        <v>24</v>
      </c>
      <c r="J24" s="1" t="s">
        <v>97</v>
      </c>
      <c r="K24" s="4" t="s">
        <v>98</v>
      </c>
      <c r="L24" s="1" t="s">
        <v>22</v>
      </c>
      <c r="N24" s="1" t="s">
        <v>23</v>
      </c>
    </row>
    <row r="25">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c r="A26" s="1">
        <v>1372.0</v>
      </c>
      <c r="B26" s="2" t="s">
        <v>106</v>
      </c>
      <c r="C26" s="2"/>
      <c r="D26" s="1" t="s">
        <v>100</v>
      </c>
      <c r="E26" s="1" t="s">
        <v>101</v>
      </c>
      <c r="F26" s="1" t="s">
        <v>34</v>
      </c>
      <c r="G26" s="1"/>
      <c r="H26" s="1">
        <v>2011.0</v>
      </c>
      <c r="I26" s="1" t="s">
        <v>24</v>
      </c>
      <c r="J26" s="1" t="s">
        <v>107</v>
      </c>
      <c r="K26" s="4" t="s">
        <v>108</v>
      </c>
      <c r="L26" s="1" t="s">
        <v>22</v>
      </c>
      <c r="N26" s="1" t="s">
        <v>23</v>
      </c>
    </row>
    <row r="27">
      <c r="A27" s="1">
        <v>1377.0</v>
      </c>
      <c r="B27" s="11" t="s">
        <v>109</v>
      </c>
      <c r="C27" s="12" t="s">
        <v>110</v>
      </c>
      <c r="D27" s="1" t="s">
        <v>100</v>
      </c>
      <c r="E27" s="1" t="s">
        <v>101</v>
      </c>
      <c r="F27" s="1" t="s">
        <v>34</v>
      </c>
      <c r="G27" s="1"/>
      <c r="H27" s="1">
        <v>2004.0</v>
      </c>
      <c r="I27" s="1" t="s">
        <v>103</v>
      </c>
      <c r="J27" s="1" t="s">
        <v>111</v>
      </c>
      <c r="K27" s="4" t="s">
        <v>112</v>
      </c>
      <c r="L27" s="1" t="s">
        <v>22</v>
      </c>
      <c r="N27" s="1" t="s">
        <v>23</v>
      </c>
    </row>
    <row r="28">
      <c r="A28" s="1">
        <v>1377.0</v>
      </c>
      <c r="B28" s="2" t="s">
        <v>113</v>
      </c>
      <c r="C28" s="2"/>
      <c r="D28" s="1" t="s">
        <v>100</v>
      </c>
      <c r="E28" s="1" t="s">
        <v>101</v>
      </c>
      <c r="F28" s="1" t="s">
        <v>34</v>
      </c>
      <c r="G28" s="1"/>
      <c r="H28" s="1">
        <v>2004.0</v>
      </c>
      <c r="I28" s="1" t="s">
        <v>24</v>
      </c>
      <c r="J28" s="1" t="s">
        <v>114</v>
      </c>
      <c r="K28" s="4" t="s">
        <v>115</v>
      </c>
      <c r="L28" s="1" t="s">
        <v>22</v>
      </c>
      <c r="N28" s="1" t="s">
        <v>23</v>
      </c>
    </row>
    <row r="29">
      <c r="A29" s="1">
        <v>1378.0</v>
      </c>
      <c r="B29" s="10" t="s">
        <v>116</v>
      </c>
      <c r="C29" s="12" t="s">
        <v>117</v>
      </c>
      <c r="D29" s="1" t="s">
        <v>100</v>
      </c>
      <c r="E29" s="1" t="s">
        <v>101</v>
      </c>
      <c r="F29" s="1" t="s">
        <v>34</v>
      </c>
      <c r="G29" s="1"/>
      <c r="H29" s="1">
        <v>2004.0</v>
      </c>
      <c r="I29" s="1" t="s">
        <v>103</v>
      </c>
      <c r="J29" s="1" t="s">
        <v>118</v>
      </c>
      <c r="K29" s="4" t="s">
        <v>119</v>
      </c>
      <c r="L29" s="1" t="s">
        <v>22</v>
      </c>
      <c r="N29" s="1" t="s">
        <v>23</v>
      </c>
    </row>
    <row r="30">
      <c r="A30" s="1">
        <v>1378.0</v>
      </c>
      <c r="B30" s="2" t="s">
        <v>120</v>
      </c>
      <c r="C30" s="2"/>
      <c r="D30" s="1" t="s">
        <v>100</v>
      </c>
      <c r="E30" s="1" t="s">
        <v>101</v>
      </c>
      <c r="F30" s="1" t="s">
        <v>34</v>
      </c>
      <c r="G30" s="1"/>
      <c r="H30" s="1">
        <v>2004.0</v>
      </c>
      <c r="I30" s="1" t="s">
        <v>24</v>
      </c>
      <c r="J30" s="1" t="s">
        <v>121</v>
      </c>
      <c r="K30" s="4" t="s">
        <v>122</v>
      </c>
      <c r="L30" s="1" t="s">
        <v>22</v>
      </c>
      <c r="N30" s="1" t="s">
        <v>23</v>
      </c>
    </row>
    <row r="31">
      <c r="A31" s="1">
        <v>1380.0</v>
      </c>
      <c r="B31" s="10" t="s">
        <v>123</v>
      </c>
      <c r="C31" s="12" t="s">
        <v>124</v>
      </c>
      <c r="D31" s="1" t="s">
        <v>100</v>
      </c>
      <c r="E31" s="1" t="s">
        <v>101</v>
      </c>
      <c r="F31" s="1" t="s">
        <v>34</v>
      </c>
      <c r="G31" s="1"/>
      <c r="H31" s="1">
        <v>1993.0</v>
      </c>
      <c r="I31" s="1" t="s">
        <v>103</v>
      </c>
      <c r="J31" s="1" t="s">
        <v>125</v>
      </c>
      <c r="K31" s="4" t="s">
        <v>126</v>
      </c>
      <c r="L31" s="1" t="s">
        <v>22</v>
      </c>
      <c r="N31" s="1" t="s">
        <v>23</v>
      </c>
    </row>
    <row r="32">
      <c r="A32" s="1">
        <v>1380.0</v>
      </c>
      <c r="B32" s="2" t="s">
        <v>127</v>
      </c>
      <c r="C32" s="2"/>
      <c r="D32" s="1" t="s">
        <v>100</v>
      </c>
      <c r="E32" s="1" t="s">
        <v>101</v>
      </c>
      <c r="F32" s="1" t="s">
        <v>34</v>
      </c>
      <c r="G32" s="1"/>
      <c r="H32" s="1">
        <v>1993.0</v>
      </c>
      <c r="I32" s="1" t="s">
        <v>24</v>
      </c>
      <c r="J32" s="1" t="s">
        <v>128</v>
      </c>
      <c r="K32" s="4" t="s">
        <v>129</v>
      </c>
      <c r="L32" s="1" t="s">
        <v>22</v>
      </c>
      <c r="N32" s="1" t="s">
        <v>23</v>
      </c>
    </row>
    <row r="33">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c r="A34" s="1">
        <v>1381.0</v>
      </c>
      <c r="B34" s="2" t="s">
        <v>133</v>
      </c>
      <c r="C34" s="2"/>
      <c r="D34" s="1" t="s">
        <v>100</v>
      </c>
      <c r="E34" s="1" t="s">
        <v>101</v>
      </c>
      <c r="F34" s="1" t="s">
        <v>41</v>
      </c>
      <c r="G34" s="1"/>
      <c r="H34" s="1">
        <v>1989.0</v>
      </c>
      <c r="I34" s="1" t="s">
        <v>24</v>
      </c>
      <c r="J34" s="1" t="s">
        <v>134</v>
      </c>
      <c r="K34" s="4" t="s">
        <v>135</v>
      </c>
      <c r="L34" s="1" t="s">
        <v>22</v>
      </c>
      <c r="N34" s="1" t="s">
        <v>23</v>
      </c>
    </row>
    <row r="35">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c r="A38" s="1">
        <v>10251.0</v>
      </c>
      <c r="B38" s="15" t="s">
        <v>147</v>
      </c>
      <c r="C38" s="2"/>
      <c r="D38" s="1" t="s">
        <v>100</v>
      </c>
      <c r="E38" s="1" t="s">
        <v>101</v>
      </c>
      <c r="F38" s="9" t="s">
        <v>89</v>
      </c>
      <c r="G38" s="1"/>
      <c r="H38" s="1">
        <v>2021.0</v>
      </c>
      <c r="I38" s="1" t="s">
        <v>24</v>
      </c>
      <c r="J38" s="1" t="s">
        <v>148</v>
      </c>
      <c r="K38" s="4" t="s">
        <v>149</v>
      </c>
      <c r="L38" s="1" t="s">
        <v>22</v>
      </c>
      <c r="N38" s="1" t="s">
        <v>92</v>
      </c>
    </row>
    <row r="39">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c r="A40" s="1">
        <v>1385.0</v>
      </c>
      <c r="B40" s="2" t="s">
        <v>156</v>
      </c>
      <c r="C40" s="2"/>
      <c r="D40" s="1" t="s">
        <v>151</v>
      </c>
      <c r="E40" s="1" t="s">
        <v>152</v>
      </c>
      <c r="F40" s="1" t="s">
        <v>144</v>
      </c>
      <c r="G40" s="1"/>
      <c r="H40" s="1">
        <v>2013.0</v>
      </c>
      <c r="I40" s="1" t="s">
        <v>24</v>
      </c>
      <c r="J40" s="1" t="s">
        <v>157</v>
      </c>
      <c r="K40" s="4" t="s">
        <v>158</v>
      </c>
      <c r="L40" s="1" t="s">
        <v>22</v>
      </c>
      <c r="N40" s="1" t="s">
        <v>23</v>
      </c>
    </row>
    <row r="41">
      <c r="A41" s="1">
        <v>1385.0</v>
      </c>
      <c r="B41" s="2" t="s">
        <v>159</v>
      </c>
      <c r="C41" s="2"/>
      <c r="D41" s="1" t="s">
        <v>151</v>
      </c>
      <c r="E41" s="1" t="s">
        <v>152</v>
      </c>
      <c r="F41" s="1" t="s">
        <v>144</v>
      </c>
      <c r="G41" s="1"/>
      <c r="H41" s="1">
        <v>2017.0</v>
      </c>
      <c r="I41" s="1" t="s">
        <v>24</v>
      </c>
      <c r="J41" s="1" t="s">
        <v>160</v>
      </c>
      <c r="K41" s="4" t="s">
        <v>161</v>
      </c>
      <c r="L41" s="1" t="s">
        <v>22</v>
      </c>
      <c r="N41" s="1" t="s">
        <v>23</v>
      </c>
    </row>
    <row r="42">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c r="A57" s="1">
        <v>2004.0</v>
      </c>
      <c r="B57" s="1" t="s">
        <v>206</v>
      </c>
      <c r="C57" s="18" t="s">
        <v>207</v>
      </c>
      <c r="D57" s="1" t="s">
        <v>151</v>
      </c>
      <c r="E57" s="1" t="s">
        <v>152</v>
      </c>
      <c r="F57" s="1" t="s">
        <v>144</v>
      </c>
      <c r="G57" s="3"/>
      <c r="H57" s="3"/>
      <c r="I57" s="1" t="s">
        <v>153</v>
      </c>
      <c r="J57" s="1" t="s">
        <v>208</v>
      </c>
      <c r="K57" s="4" t="s">
        <v>209</v>
      </c>
      <c r="L57" s="1" t="s">
        <v>22</v>
      </c>
      <c r="N57" s="1" t="s">
        <v>37</v>
      </c>
    </row>
    <row r="58">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c r="A89" s="1">
        <v>9767.0</v>
      </c>
      <c r="B89" s="2" t="s">
        <v>314</v>
      </c>
      <c r="C89" s="23" t="s">
        <v>315</v>
      </c>
      <c r="D89" s="1" t="s">
        <v>266</v>
      </c>
      <c r="E89" s="1" t="s">
        <v>267</v>
      </c>
      <c r="F89" s="1" t="s">
        <v>144</v>
      </c>
      <c r="G89" s="1"/>
      <c r="H89" s="1">
        <v>2020.0</v>
      </c>
      <c r="I89" s="1" t="s">
        <v>268</v>
      </c>
      <c r="J89" s="1" t="s">
        <v>316</v>
      </c>
      <c r="K89" s="4" t="s">
        <v>317</v>
      </c>
      <c r="L89" s="1" t="s">
        <v>22</v>
      </c>
      <c r="N89" s="1" t="s">
        <v>23</v>
      </c>
    </row>
    <row r="90">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1741</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c r="A2" s="1">
        <v>1497.0</v>
      </c>
      <c r="B2" s="1" t="s">
        <v>3149</v>
      </c>
      <c r="C2" s="1" t="str">
        <f>IFERROR(__xludf.DUMMYFUNCTION("GOOGLETRANSLATE(B2)"),"Climate agenda: resilient,
prosperous and green")</f>
        <v>Climate agenda: resilient,
prosperous and green</v>
      </c>
      <c r="D2" s="1" t="s">
        <v>3150</v>
      </c>
      <c r="E2" s="1" t="s">
        <v>3151</v>
      </c>
      <c r="F2" s="1" t="s">
        <v>1541</v>
      </c>
      <c r="G2" s="1"/>
      <c r="H2" s="1">
        <v>2013.0</v>
      </c>
      <c r="I2" s="1" t="s">
        <v>3152</v>
      </c>
      <c r="J2" s="1" t="s">
        <v>3153</v>
      </c>
      <c r="K2" s="4" t="s">
        <v>3154</v>
      </c>
      <c r="L2" s="1" t="s">
        <v>23</v>
      </c>
    </row>
    <row r="3">
      <c r="A3" s="1">
        <v>1497.0</v>
      </c>
      <c r="B3" s="1" t="s">
        <v>3155</v>
      </c>
      <c r="C3" s="1" t="str">
        <f>IFERROR(__xludf.DUMMYFUNCTION("GOOGLETRANSLATE(B3)"),"Climate Agenda:
resilient, prosperous and green")</f>
        <v>Climate Agenda:
resilient, prosperous and green</v>
      </c>
      <c r="D3" s="1" t="s">
        <v>3150</v>
      </c>
      <c r="E3" s="1" t="s">
        <v>3151</v>
      </c>
      <c r="F3" s="1" t="s">
        <v>1541</v>
      </c>
      <c r="G3" s="1"/>
      <c r="H3" s="1">
        <v>2013.0</v>
      </c>
      <c r="I3" s="1" t="s">
        <v>24</v>
      </c>
      <c r="J3" s="1" t="s">
        <v>3156</v>
      </c>
      <c r="K3" s="4" t="s">
        <v>3157</v>
      </c>
      <c r="L3" s="1" t="s">
        <v>23</v>
      </c>
    </row>
    <row r="4">
      <c r="A4" s="1">
        <v>1499.0</v>
      </c>
      <c r="B4" s="1" t="s">
        <v>3158</v>
      </c>
      <c r="C4" s="1" t="s">
        <v>3159</v>
      </c>
      <c r="D4" s="1" t="s">
        <v>3150</v>
      </c>
      <c r="E4" s="1" t="s">
        <v>3151</v>
      </c>
      <c r="F4" s="1" t="s">
        <v>407</v>
      </c>
      <c r="G4" s="1"/>
      <c r="H4" s="1">
        <v>2011.0</v>
      </c>
      <c r="I4" s="1" t="s">
        <v>3152</v>
      </c>
      <c r="J4" s="1" t="s">
        <v>3160</v>
      </c>
      <c r="K4" s="4" t="s">
        <v>3161</v>
      </c>
      <c r="L4" s="1" t="s">
        <v>23</v>
      </c>
    </row>
    <row r="5">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c r="A11" s="1">
        <v>9367.0</v>
      </c>
      <c r="B11" s="1" t="s">
        <v>3179</v>
      </c>
      <c r="C11" s="18" t="s">
        <v>3180</v>
      </c>
      <c r="D11" s="1" t="s">
        <v>3150</v>
      </c>
      <c r="E11" s="1" t="s">
        <v>3151</v>
      </c>
      <c r="F11" s="1" t="s">
        <v>41</v>
      </c>
      <c r="G11" s="1"/>
      <c r="H11" s="1">
        <v>2022.0</v>
      </c>
      <c r="I11" s="1" t="s">
        <v>3152</v>
      </c>
      <c r="J11" s="1" t="s">
        <v>3181</v>
      </c>
      <c r="K11" s="4" t="s">
        <v>3182</v>
      </c>
      <c r="L11" s="1" t="s">
        <v>839</v>
      </c>
    </row>
    <row r="12">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c r="A22" s="1">
        <v>4972.0</v>
      </c>
      <c r="B22" s="1" t="s">
        <v>3217</v>
      </c>
      <c r="C22" s="18" t="s">
        <v>3218</v>
      </c>
      <c r="D22" s="1" t="s">
        <v>3219</v>
      </c>
      <c r="E22" s="1" t="s">
        <v>3220</v>
      </c>
      <c r="F22" s="1" t="s">
        <v>41</v>
      </c>
      <c r="G22" s="1"/>
      <c r="H22" s="1">
        <v>2012.0</v>
      </c>
      <c r="I22" s="1" t="s">
        <v>924</v>
      </c>
      <c r="J22" s="1" t="s">
        <v>3221</v>
      </c>
      <c r="K22" s="4" t="s">
        <v>3222</v>
      </c>
      <c r="L22" s="1" t="s">
        <v>23</v>
      </c>
    </row>
    <row r="23">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295</v>
      </c>
      <c r="G28" s="1"/>
      <c r="H28" s="1">
        <v>2020.0</v>
      </c>
      <c r="I28" s="1" t="s">
        <v>24</v>
      </c>
      <c r="J28" s="1" t="s">
        <v>3241</v>
      </c>
      <c r="K28" s="4" t="s">
        <v>3242</v>
      </c>
      <c r="L28" s="1" t="s">
        <v>326</v>
      </c>
    </row>
    <row r="29">
      <c r="A29" s="1">
        <v>1518.0</v>
      </c>
      <c r="B29" s="1" t="s">
        <v>3243</v>
      </c>
      <c r="C29" s="1" t="str">
        <f>IFERROR(__xludf.DUMMYFUNCTION("GOOGLETRANSLATE(B29)"),"Climate adaptation in Norway")</f>
        <v>Climate adaptation in Norway</v>
      </c>
      <c r="D29" s="1" t="s">
        <v>3244</v>
      </c>
      <c r="E29" s="1" t="s">
        <v>3245</v>
      </c>
      <c r="F29" s="9" t="s">
        <v>144</v>
      </c>
      <c r="G29" s="1"/>
      <c r="H29" s="1">
        <v>2012.0</v>
      </c>
      <c r="I29" s="1" t="s">
        <v>3246</v>
      </c>
      <c r="J29" s="1" t="s">
        <v>3247</v>
      </c>
      <c r="K29" s="4" t="s">
        <v>3248</v>
      </c>
      <c r="L29" s="1" t="s">
        <v>23</v>
      </c>
    </row>
    <row r="30">
      <c r="A30" s="1">
        <v>1518.0</v>
      </c>
      <c r="B30" s="1" t="s">
        <v>3249</v>
      </c>
      <c r="C30" s="1" t="str">
        <f>IFERROR(__xludf.DUMMYFUNCTION("GOOGLETRANSLATE(B30)"),"Climate change adaptation
in Norway")</f>
        <v>Climate change adaptation
in Norway</v>
      </c>
      <c r="D30" s="1" t="s">
        <v>3244</v>
      </c>
      <c r="E30" s="1" t="s">
        <v>3245</v>
      </c>
      <c r="F30" s="9" t="s">
        <v>144</v>
      </c>
      <c r="G30" s="1"/>
      <c r="H30" s="1">
        <v>2012.0</v>
      </c>
      <c r="I30" s="1" t="s">
        <v>24</v>
      </c>
      <c r="J30" s="1" t="s">
        <v>3250</v>
      </c>
      <c r="K30" s="4" t="s">
        <v>3251</v>
      </c>
      <c r="L30" s="1" t="s">
        <v>23</v>
      </c>
    </row>
    <row r="31">
      <c r="A31" s="1">
        <v>1520.0</v>
      </c>
      <c r="B31" s="1" t="s">
        <v>3252</v>
      </c>
      <c r="C31" s="1" t="str">
        <f>IFERROR(__xludf.DUMMYFUNCTION("GOOGLETRANSLATE(B31)"),"Law on Electric Certificates")</f>
        <v>Law on Electric Certificates</v>
      </c>
      <c r="D31" s="1" t="s">
        <v>3244</v>
      </c>
      <c r="E31" s="1" t="s">
        <v>3245</v>
      </c>
      <c r="F31" s="1" t="s">
        <v>45</v>
      </c>
      <c r="G31" s="1"/>
      <c r="H31" s="1">
        <v>2011.0</v>
      </c>
      <c r="I31" s="1" t="s">
        <v>3246</v>
      </c>
      <c r="J31" s="1" t="s">
        <v>3253</v>
      </c>
      <c r="K31" s="4" t="s">
        <v>3254</v>
      </c>
      <c r="L31" s="1" t="s">
        <v>37</v>
      </c>
    </row>
    <row r="32">
      <c r="A32" s="1">
        <v>1520.0</v>
      </c>
      <c r="B32" s="1" t="s">
        <v>3255</v>
      </c>
      <c r="C32" s="1" t="str">
        <f>IFERROR(__xludf.DUMMYFUNCTION("GOOGLETRANSLATE(B32)"),"No. 39: Act on elcertificate")</f>
        <v>No. 39: Act on elcertificate</v>
      </c>
      <c r="D32" s="1" t="s">
        <v>3244</v>
      </c>
      <c r="E32" s="1" t="s">
        <v>3245</v>
      </c>
      <c r="F32" s="1" t="s">
        <v>45</v>
      </c>
      <c r="G32" s="1"/>
      <c r="H32" s="1">
        <v>2011.0</v>
      </c>
      <c r="I32" s="1" t="s">
        <v>24</v>
      </c>
      <c r="J32" s="1" t="s">
        <v>3256</v>
      </c>
      <c r="K32" s="4" t="s">
        <v>3257</v>
      </c>
      <c r="L32" s="1" t="s">
        <v>23</v>
      </c>
    </row>
    <row r="33">
      <c r="A33" s="1">
        <v>1522.0</v>
      </c>
      <c r="B33" s="1" t="s">
        <v>3258</v>
      </c>
      <c r="C33" s="1" t="str">
        <f>IFERROR(__xludf.DUMMYFUNCTION("GOOGLETRANSLATE(B33)"),"VAT act of 19 June 2009 no. 58")</f>
        <v>VAT act of 19 June 2009 no. 58</v>
      </c>
      <c r="D33" s="1" t="s">
        <v>3244</v>
      </c>
      <c r="E33" s="1" t="s">
        <v>3245</v>
      </c>
      <c r="F33" s="1" t="s">
        <v>45</v>
      </c>
      <c r="G33" s="1"/>
      <c r="H33" s="1">
        <v>2009.0</v>
      </c>
      <c r="I33" s="1" t="s">
        <v>24</v>
      </c>
      <c r="J33" s="1" t="s">
        <v>3259</v>
      </c>
      <c r="K33" s="4" t="s">
        <v>3260</v>
      </c>
      <c r="L33" s="1" t="s">
        <v>23</v>
      </c>
    </row>
    <row r="34">
      <c r="A34" s="1">
        <v>1522.0</v>
      </c>
      <c r="B34" s="1" t="s">
        <v>3261</v>
      </c>
      <c r="C34" s="1" t="str">
        <f>IFERROR(__xludf.DUMMYFUNCTION("GOOGLETRANSLATE(B34)"),"Value Added Tax Act (Value Added Tax Act)")</f>
        <v>Value Added Tax Act (Value Added Tax Act)</v>
      </c>
      <c r="D34" s="1" t="s">
        <v>3244</v>
      </c>
      <c r="E34" s="1" t="s">
        <v>3245</v>
      </c>
      <c r="F34" s="9" t="s">
        <v>45</v>
      </c>
      <c r="G34" s="1"/>
      <c r="H34" s="1">
        <v>2009.0</v>
      </c>
      <c r="I34" s="1" t="s">
        <v>3246</v>
      </c>
      <c r="J34" s="1" t="s">
        <v>3262</v>
      </c>
      <c r="K34" s="4" t="s">
        <v>3263</v>
      </c>
      <c r="L34" s="1" t="s">
        <v>37</v>
      </c>
    </row>
    <row r="35">
      <c r="A35" s="1">
        <v>1523.0</v>
      </c>
      <c r="B35" s="1" t="s">
        <v>3264</v>
      </c>
      <c r="C35" s="1" t="str">
        <f>IFERROR(__xludf.DUMMYFUNCTION("GOOGLETRANSLATE(B35)"),"Act on planning and construction case processing (Planning and Building Act)")</f>
        <v>Act on planning and construction case processing (Planning and Building Act)</v>
      </c>
      <c r="D35" s="1" t="s">
        <v>3244</v>
      </c>
      <c r="E35" s="1" t="s">
        <v>3245</v>
      </c>
      <c r="F35" s="1" t="s">
        <v>41</v>
      </c>
      <c r="G35" s="1"/>
      <c r="H35" s="1">
        <v>2008.0</v>
      </c>
      <c r="I35" s="1" t="s">
        <v>3246</v>
      </c>
      <c r="J35" s="1" t="s">
        <v>3265</v>
      </c>
      <c r="K35" s="4" t="s">
        <v>3266</v>
      </c>
      <c r="L35" s="1" t="s">
        <v>37</v>
      </c>
    </row>
    <row r="36">
      <c r="A36" s="1">
        <v>1523.0</v>
      </c>
      <c r="B36" s="1" t="s">
        <v>3267</v>
      </c>
      <c r="C36" s="1" t="str">
        <f>IFERROR(__xludf.DUMMYFUNCTION("GOOGLETRANSLATE(B36)"),"Planning and Building Act (2008)")</f>
        <v>Planning and Building Act (2008)</v>
      </c>
      <c r="D36" s="1" t="s">
        <v>3244</v>
      </c>
      <c r="E36" s="1" t="s">
        <v>3245</v>
      </c>
      <c r="F36" s="1" t="s">
        <v>45</v>
      </c>
      <c r="G36" s="1"/>
      <c r="H36" s="1">
        <v>2008.0</v>
      </c>
      <c r="I36" s="1" t="s">
        <v>24</v>
      </c>
      <c r="J36" s="1" t="s">
        <v>3268</v>
      </c>
      <c r="K36" s="4" t="s">
        <v>3269</v>
      </c>
      <c r="L36" s="1" t="s">
        <v>37</v>
      </c>
    </row>
    <row r="37">
      <c r="A37" s="1">
        <v>1524.0</v>
      </c>
      <c r="B37" s="1" t="s">
        <v>3270</v>
      </c>
      <c r="C37" s="18" t="s">
        <v>3271</v>
      </c>
      <c r="D37" s="1" t="s">
        <v>3244</v>
      </c>
      <c r="E37" s="1" t="s">
        <v>3245</v>
      </c>
      <c r="F37" s="1" t="s">
        <v>41</v>
      </c>
      <c r="G37" s="1"/>
      <c r="H37" s="1">
        <v>2004.0</v>
      </c>
      <c r="I37" s="1" t="s">
        <v>3246</v>
      </c>
      <c r="J37" s="1" t="s">
        <v>3272</v>
      </c>
      <c r="K37" s="4" t="s">
        <v>3273</v>
      </c>
      <c r="L37" s="1" t="s">
        <v>37</v>
      </c>
    </row>
    <row r="38">
      <c r="A38" s="1">
        <v>1524.0</v>
      </c>
      <c r="B38" s="1" t="s">
        <v>3271</v>
      </c>
      <c r="C38" s="1" t="str">
        <f>IFERROR(__xludf.DUMMYFUNCTION("GOOGLETRANSLATE(B38)"),"Greenhouse Gas Emission Trading Act")</f>
        <v>Greenhouse Gas Emission Trading Act</v>
      </c>
      <c r="D38" s="1" t="s">
        <v>3244</v>
      </c>
      <c r="E38" s="1" t="s">
        <v>3245</v>
      </c>
      <c r="F38" s="1" t="s">
        <v>45</v>
      </c>
      <c r="G38" s="1"/>
      <c r="H38" s="1">
        <v>2004.0</v>
      </c>
      <c r="I38" s="1" t="s">
        <v>24</v>
      </c>
      <c r="J38" s="1" t="s">
        <v>3274</v>
      </c>
      <c r="K38" s="4" t="s">
        <v>3275</v>
      </c>
      <c r="L38" s="1" t="s">
        <v>37</v>
      </c>
    </row>
    <row r="39">
      <c r="A39" s="1">
        <v>1525.0</v>
      </c>
      <c r="B39" s="1" t="s">
        <v>767</v>
      </c>
      <c r="C39" s="1" t="str">
        <f>IFERROR(__xludf.DUMMYFUNCTION("GOOGLETRANSLATE(B39)"),"Energy Act")</f>
        <v>Energy Act</v>
      </c>
      <c r="D39" s="1" t="s">
        <v>3244</v>
      </c>
      <c r="E39" s="1" t="s">
        <v>3245</v>
      </c>
      <c r="F39" s="1" t="s">
        <v>45</v>
      </c>
      <c r="G39" s="1"/>
      <c r="H39" s="1">
        <v>1990.0</v>
      </c>
      <c r="I39" s="1" t="s">
        <v>3246</v>
      </c>
      <c r="J39" s="1" t="s">
        <v>3276</v>
      </c>
      <c r="K39" s="4" t="s">
        <v>3277</v>
      </c>
      <c r="L39" s="1" t="s">
        <v>37</v>
      </c>
    </row>
    <row r="40">
      <c r="A40" s="1">
        <v>1525.0</v>
      </c>
      <c r="B40" s="1" t="s">
        <v>767</v>
      </c>
      <c r="C40" s="1" t="str">
        <f>IFERROR(__xludf.DUMMYFUNCTION("GOOGLETRANSLATE(B40)"),"Energy Act")</f>
        <v>Energy Act</v>
      </c>
      <c r="D40" s="1" t="s">
        <v>3244</v>
      </c>
      <c r="E40" s="1" t="s">
        <v>3245</v>
      </c>
      <c r="F40" s="1" t="s">
        <v>45</v>
      </c>
      <c r="G40" s="1"/>
      <c r="H40" s="1">
        <v>1990.0</v>
      </c>
      <c r="I40" s="1" t="s">
        <v>24</v>
      </c>
      <c r="J40" s="1" t="s">
        <v>3278</v>
      </c>
      <c r="K40" s="4" t="s">
        <v>3279</v>
      </c>
      <c r="L40" s="1" t="s">
        <v>23</v>
      </c>
    </row>
    <row r="41">
      <c r="A41" s="1">
        <v>1526.0</v>
      </c>
      <c r="B41" s="1" t="s">
        <v>3280</v>
      </c>
      <c r="C41" s="1" t="str">
        <f>IFERROR(__xludf.DUMMYFUNCTION("GOOGLETRANSLATE(B41)"),"Act on control of products and consumer services")</f>
        <v>Act on control of products and consumer services</v>
      </c>
      <c r="D41" s="1" t="s">
        <v>3244</v>
      </c>
      <c r="E41" s="1" t="s">
        <v>3245</v>
      </c>
      <c r="F41" s="1" t="s">
        <v>41</v>
      </c>
      <c r="G41" s="1"/>
      <c r="H41" s="1">
        <v>1976.0</v>
      </c>
      <c r="I41" s="1" t="s">
        <v>3246</v>
      </c>
      <c r="J41" s="1" t="s">
        <v>3281</v>
      </c>
      <c r="K41" s="4" t="s">
        <v>3282</v>
      </c>
      <c r="L41" s="1" t="s">
        <v>37</v>
      </c>
    </row>
    <row r="42">
      <c r="A42" s="1">
        <v>1526.0</v>
      </c>
      <c r="B42" s="1" t="s">
        <v>3283</v>
      </c>
      <c r="C42" s="1" t="str">
        <f>IFERROR(__xludf.DUMMYFUNCTION("GOOGLETRANSLATE(B42)"),"Product Control Act")</f>
        <v>Product Control Act</v>
      </c>
      <c r="D42" s="1" t="s">
        <v>3244</v>
      </c>
      <c r="E42" s="1" t="s">
        <v>3245</v>
      </c>
      <c r="F42" s="1" t="s">
        <v>45</v>
      </c>
      <c r="G42" s="1"/>
      <c r="H42" s="1">
        <v>1976.0</v>
      </c>
      <c r="I42" s="1" t="s">
        <v>24</v>
      </c>
      <c r="J42" s="1" t="s">
        <v>3284</v>
      </c>
      <c r="K42" s="4" t="s">
        <v>3285</v>
      </c>
      <c r="L42" s="1" t="s">
        <v>37</v>
      </c>
    </row>
    <row r="43">
      <c r="A43" s="1">
        <v>8887.0</v>
      </c>
      <c r="B43" s="1" t="s">
        <v>3286</v>
      </c>
      <c r="C43" s="1" t="str">
        <f>IFERROR(__xludf.DUMMYFUNCTION("GOOGLETRANSLATE(B43)"),"Law on Compensation for Natural Damage
(Natural Damage Compensation Act)")</f>
        <v>Law on Compensation for Natural Damage
(Natural Damage Compensation Act)</v>
      </c>
      <c r="D43" s="1" t="s">
        <v>3244</v>
      </c>
      <c r="E43" s="1" t="s">
        <v>3245</v>
      </c>
      <c r="F43" s="1" t="s">
        <v>45</v>
      </c>
      <c r="G43" s="1"/>
      <c r="H43" s="1">
        <v>2014.0</v>
      </c>
      <c r="I43" s="1" t="s">
        <v>3246</v>
      </c>
      <c r="J43" s="1" t="s">
        <v>3287</v>
      </c>
      <c r="K43" s="4" t="s">
        <v>3288</v>
      </c>
      <c r="L43" s="1" t="s">
        <v>23</v>
      </c>
    </row>
    <row r="44">
      <c r="A44" s="1">
        <v>8887.0</v>
      </c>
      <c r="B44" s="1" t="s">
        <v>3289</v>
      </c>
      <c r="C44" s="1" t="str">
        <f>IFERROR(__xludf.DUMMYFUNCTION("GOOGLETRANSLATE(B44)"),"Act on compensation for natural damage (Natural
Damage Compensation Act)")</f>
        <v>Act on compensation for natural damage (Natural
Damage Compensation Act)</v>
      </c>
      <c r="D44" s="1" t="s">
        <v>3244</v>
      </c>
      <c r="E44" s="1" t="s">
        <v>3245</v>
      </c>
      <c r="F44" s="1" t="s">
        <v>45</v>
      </c>
      <c r="G44" s="1"/>
      <c r="H44" s="1">
        <v>2014.0</v>
      </c>
      <c r="I44" s="1" t="s">
        <v>24</v>
      </c>
      <c r="J44" s="1" t="s">
        <v>3290</v>
      </c>
      <c r="K44" s="4" t="s">
        <v>3291</v>
      </c>
      <c r="L44" s="1" t="s">
        <v>23</v>
      </c>
    </row>
    <row r="45">
      <c r="A45" s="9">
        <v>8887.0</v>
      </c>
      <c r="B45" s="9" t="s">
        <v>3289</v>
      </c>
      <c r="C45" s="9" t="str">
        <f>IFERROR(__xludf.DUMMYFUNCTION("GOOGLETRANSLATE(B45)"),"Act on compensation for natural damage (Natural
Damage Compensation Act)")</f>
        <v>Act on compensation for natural damage (Natural
Damage Compensation Act)</v>
      </c>
      <c r="D45" s="9" t="s">
        <v>3244</v>
      </c>
      <c r="E45" s="9" t="s">
        <v>3245</v>
      </c>
      <c r="F45" s="9" t="s">
        <v>45</v>
      </c>
      <c r="G45" s="9"/>
      <c r="H45" s="9">
        <v>2014.0</v>
      </c>
      <c r="I45" s="9" t="s">
        <v>24</v>
      </c>
      <c r="J45" s="9" t="s">
        <v>3292</v>
      </c>
      <c r="K45" s="24" t="s">
        <v>3293</v>
      </c>
      <c r="L45" s="9" t="s">
        <v>23</v>
      </c>
      <c r="M45" s="3"/>
      <c r="N45" s="3"/>
      <c r="O45" s="3"/>
      <c r="P45" s="3"/>
      <c r="Q45" s="3"/>
      <c r="R45" s="3"/>
      <c r="S45" s="3"/>
    </row>
    <row r="46">
      <c r="A46" s="9">
        <v>8887.0</v>
      </c>
      <c r="B46" s="9" t="s">
        <v>3294</v>
      </c>
      <c r="C46" s="9" t="str">
        <f>IFERROR(__xludf.DUMMYFUNCTION("GOOGLETRANSLATE(B46)"),"Myanmar Climate Change Policy")</f>
        <v>Myanmar Climate Change Policy</v>
      </c>
      <c r="D46" s="9" t="s">
        <v>3295</v>
      </c>
      <c r="E46" s="9" t="s">
        <v>3296</v>
      </c>
      <c r="F46" s="9" t="s">
        <v>407</v>
      </c>
      <c r="G46" s="9"/>
      <c r="H46" s="9">
        <v>2019.0</v>
      </c>
      <c r="I46" s="9" t="s">
        <v>3297</v>
      </c>
      <c r="J46" s="9" t="s">
        <v>3298</v>
      </c>
      <c r="K46" s="24" t="s">
        <v>3299</v>
      </c>
      <c r="L46" s="9" t="s">
        <v>37</v>
      </c>
      <c r="M46" s="9" t="s">
        <v>24</v>
      </c>
      <c r="N46" s="3"/>
      <c r="O46" s="3"/>
      <c r="P46" s="3"/>
      <c r="Q46" s="3"/>
      <c r="R46" s="3"/>
      <c r="S46" s="3"/>
    </row>
    <row r="47">
      <c r="A47" s="1">
        <v>8891.0</v>
      </c>
      <c r="B47" s="1" t="s">
        <v>3286</v>
      </c>
      <c r="C47" s="1" t="str">
        <f>IFERROR(__xludf.DUMMYFUNCTION("GOOGLETRANSLATE(B47)"),"Law on Compensation for Natural Damage
(Natural Damage Compensation Act)")</f>
        <v>Law on Compensation for Natural Damage
(Natural Damage Compensation Act)</v>
      </c>
      <c r="D47" s="1" t="s">
        <v>3244</v>
      </c>
      <c r="E47" s="1" t="s">
        <v>3245</v>
      </c>
      <c r="F47" s="1" t="s">
        <v>45</v>
      </c>
      <c r="G47" s="1"/>
      <c r="H47" s="1">
        <v>2014.0</v>
      </c>
      <c r="I47" s="1" t="s">
        <v>3246</v>
      </c>
      <c r="J47" s="1" t="s">
        <v>3300</v>
      </c>
      <c r="K47" s="4" t="s">
        <v>3301</v>
      </c>
      <c r="L47" s="1" t="s">
        <v>23</v>
      </c>
    </row>
    <row r="48">
      <c r="A48" s="1">
        <v>8891.0</v>
      </c>
      <c r="B48" s="1" t="s">
        <v>3289</v>
      </c>
      <c r="C48" s="1" t="str">
        <f>IFERROR(__xludf.DUMMYFUNCTION("GOOGLETRANSLATE(B48)"),"Act on compensation for natural damage (Natural
Damage Compensation Act)")</f>
        <v>Act on compensation for natural damage (Natural
Damage Compensation Act)</v>
      </c>
      <c r="D48" s="1" t="s">
        <v>3244</v>
      </c>
      <c r="E48" s="1" t="s">
        <v>3245</v>
      </c>
      <c r="F48" s="1" t="s">
        <v>45</v>
      </c>
      <c r="G48" s="1"/>
      <c r="H48" s="1">
        <v>2014.0</v>
      </c>
      <c r="I48" s="1" t="s">
        <v>24</v>
      </c>
      <c r="J48" s="1" t="s">
        <v>3302</v>
      </c>
      <c r="K48" s="4" t="s">
        <v>3303</v>
      </c>
      <c r="L48" s="1" t="s">
        <v>23</v>
      </c>
    </row>
    <row r="49">
      <c r="A49" s="1">
        <v>9749.0</v>
      </c>
      <c r="B49" s="1" t="s">
        <v>3304</v>
      </c>
      <c r="C49" s="1" t="str">
        <f>IFERROR(__xludf.DUMMYFUNCTION("GOOGLETRANSLATE(B49)"),"Norway’s comprehensive climate action plan")</f>
        <v>Norway’s comprehensive climate action plan</v>
      </c>
      <c r="D49" s="1" t="s">
        <v>3244</v>
      </c>
      <c r="E49" s="1" t="s">
        <v>3245</v>
      </c>
      <c r="F49" s="1" t="s">
        <v>234</v>
      </c>
      <c r="G49" s="1"/>
      <c r="H49" s="1">
        <v>2021.0</v>
      </c>
      <c r="I49" s="1" t="s">
        <v>24</v>
      </c>
      <c r="J49" s="1" t="s">
        <v>3305</v>
      </c>
      <c r="K49" s="4" t="s">
        <v>3306</v>
      </c>
      <c r="L49" s="1" t="s">
        <v>92</v>
      </c>
    </row>
    <row r="50">
      <c r="A50" s="1">
        <v>9749.0</v>
      </c>
      <c r="B50" s="9" t="s">
        <v>3307</v>
      </c>
      <c r="C50" s="9" t="str">
        <f>IFERROR(__xludf.DUMMYFUNCTION("GOOGLETRANSLATE(B50)"),"Overview of all the government will point in the message")</f>
        <v>Overview of all the government will point in the message</v>
      </c>
      <c r="D50" s="1" t="s">
        <v>3244</v>
      </c>
      <c r="E50" s="1" t="s">
        <v>3245</v>
      </c>
      <c r="F50" s="9" t="s">
        <v>407</v>
      </c>
      <c r="G50" s="3"/>
      <c r="H50" s="3"/>
      <c r="I50" s="1" t="s">
        <v>3246</v>
      </c>
      <c r="J50" s="1" t="s">
        <v>3308</v>
      </c>
      <c r="K50" s="4" t="s">
        <v>3309</v>
      </c>
      <c r="L50" s="1" t="s">
        <v>23</v>
      </c>
    </row>
    <row r="51">
      <c r="A51" s="1">
        <v>10252.0</v>
      </c>
      <c r="B51" s="165" t="s">
        <v>3310</v>
      </c>
      <c r="C51" s="1" t="s">
        <v>3311</v>
      </c>
      <c r="D51" s="1" t="s">
        <v>3312</v>
      </c>
      <c r="E51" s="1" t="s">
        <v>3313</v>
      </c>
      <c r="F51" s="1" t="s">
        <v>253</v>
      </c>
      <c r="G51" s="1"/>
      <c r="H51" s="1">
        <v>2021.0</v>
      </c>
      <c r="I51" s="1" t="s">
        <v>335</v>
      </c>
      <c r="J51" s="1" t="s">
        <v>3314</v>
      </c>
      <c r="K51" s="4" t="s">
        <v>3315</v>
      </c>
      <c r="L51" s="1" t="s">
        <v>23</v>
      </c>
    </row>
    <row r="52">
      <c r="A52" s="1">
        <v>10252.0</v>
      </c>
      <c r="B52" s="10" t="s">
        <v>3310</v>
      </c>
      <c r="C52" s="1" t="s">
        <v>3311</v>
      </c>
      <c r="D52" s="1" t="s">
        <v>3312</v>
      </c>
      <c r="E52" s="1" t="s">
        <v>3313</v>
      </c>
      <c r="F52" s="1" t="s">
        <v>253</v>
      </c>
      <c r="G52" s="1"/>
      <c r="H52" s="1">
        <v>2021.0</v>
      </c>
      <c r="I52" s="1" t="s">
        <v>24</v>
      </c>
      <c r="J52" s="1" t="s">
        <v>3316</v>
      </c>
      <c r="K52" s="4" t="s">
        <v>3317</v>
      </c>
      <c r="L52" s="1" t="s">
        <v>23</v>
      </c>
    </row>
    <row r="53">
      <c r="A53" s="1">
        <v>8685.0</v>
      </c>
      <c r="B53" s="1" t="s">
        <v>3318</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3319</v>
      </c>
      <c r="E53" s="1" t="s">
        <v>3320</v>
      </c>
      <c r="F53" s="1" t="s">
        <v>18</v>
      </c>
      <c r="G53" s="1"/>
      <c r="H53" s="1">
        <v>2017.0</v>
      </c>
      <c r="I53" s="1" t="s">
        <v>924</v>
      </c>
      <c r="J53" s="1" t="s">
        <v>3321</v>
      </c>
      <c r="K53" s="4" t="s">
        <v>3322</v>
      </c>
      <c r="L53" s="1" t="s">
        <v>23</v>
      </c>
    </row>
    <row r="54">
      <c r="A54" s="1">
        <v>8685.0</v>
      </c>
      <c r="B54" s="1" t="s">
        <v>3318</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3319</v>
      </c>
      <c r="E54" s="1" t="s">
        <v>3320</v>
      </c>
      <c r="F54" s="1" t="s">
        <v>18</v>
      </c>
      <c r="G54" s="1"/>
      <c r="H54" s="1">
        <v>2017.0</v>
      </c>
      <c r="I54" s="1" t="s">
        <v>924</v>
      </c>
      <c r="J54" s="1" t="s">
        <v>3323</v>
      </c>
      <c r="K54" s="4" t="s">
        <v>3324</v>
      </c>
      <c r="L54" s="1" t="s">
        <v>275</v>
      </c>
    </row>
    <row r="55">
      <c r="A55" s="1">
        <v>9719.0</v>
      </c>
      <c r="B55" s="1" t="s">
        <v>3325</v>
      </c>
      <c r="C55" s="1" t="str">
        <f>IFERROR(__xludf.DUMMYFUNCTION("GOOGLETRANSLATE(B55)"),"Cabinet Resolution No. 103: which approves the National Electric Mobility Strategy (ENME)")</f>
        <v>Cabinet Resolution No. 103: which approves the National Electric Mobility Strategy (ENME)</v>
      </c>
      <c r="D55" s="1" t="s">
        <v>3319</v>
      </c>
      <c r="E55" s="1" t="s">
        <v>3320</v>
      </c>
      <c r="F55" s="1" t="s">
        <v>137</v>
      </c>
      <c r="G55" s="1"/>
      <c r="H55" s="1">
        <v>2019.0</v>
      </c>
      <c r="I55" s="1" t="s">
        <v>924</v>
      </c>
      <c r="J55" s="1" t="s">
        <v>3326</v>
      </c>
      <c r="K55" s="4" t="s">
        <v>3327</v>
      </c>
      <c r="L55" s="1" t="s">
        <v>23</v>
      </c>
    </row>
    <row r="56">
      <c r="A56" s="1">
        <v>9719.0</v>
      </c>
      <c r="B56" s="1" t="s">
        <v>3328</v>
      </c>
      <c r="C56" s="1" t="str">
        <f>IFERROR(__xludf.DUMMYFUNCTION("GOOGLETRANSLATE(B56)"),"National Panama Electric Mobility Strategy")</f>
        <v>National Panama Electric Mobility Strategy</v>
      </c>
      <c r="D56" s="1" t="s">
        <v>3319</v>
      </c>
      <c r="E56" s="1" t="s">
        <v>3320</v>
      </c>
      <c r="F56" s="1" t="s">
        <v>144</v>
      </c>
      <c r="G56" s="1"/>
      <c r="H56" s="1">
        <v>2019.0</v>
      </c>
      <c r="I56" s="1" t="s">
        <v>924</v>
      </c>
      <c r="J56" s="1" t="s">
        <v>3329</v>
      </c>
      <c r="K56" s="4" t="s">
        <v>3330</v>
      </c>
      <c r="L56" s="1" t="s">
        <v>23</v>
      </c>
    </row>
    <row r="57">
      <c r="A57" s="1">
        <v>10172.0</v>
      </c>
      <c r="B57" s="1" t="s">
        <v>3331</v>
      </c>
      <c r="C57" s="1" t="str">
        <f>IFERROR(__xludf.DUMMYFUNCTION("GOOGLETRANSLATE(B57)"),"Executive Decree No. 34: that approves the National Climate Change Strategy 2050")</f>
        <v>Executive Decree No. 34: that approves the National Climate Change Strategy 2050</v>
      </c>
      <c r="D57" s="1" t="s">
        <v>3319</v>
      </c>
      <c r="E57" s="1" t="s">
        <v>3320</v>
      </c>
      <c r="F57" s="1" t="s">
        <v>18</v>
      </c>
      <c r="G57" s="1"/>
      <c r="H57" s="1">
        <v>2019.0</v>
      </c>
      <c r="I57" s="1" t="s">
        <v>924</v>
      </c>
      <c r="J57" s="1" t="s">
        <v>3332</v>
      </c>
      <c r="K57" s="4" t="s">
        <v>3333</v>
      </c>
      <c r="L57" s="1" t="s">
        <v>23</v>
      </c>
    </row>
    <row r="58">
      <c r="A58" s="1">
        <v>10172.0</v>
      </c>
      <c r="B58" s="1" t="s">
        <v>3334</v>
      </c>
      <c r="C58" s="1" t="str">
        <f>IFERROR(__xludf.DUMMYFUNCTION("GOOGLETRANSLATE(B58)"),"National Climate Change Strategy 2050")</f>
        <v>National Climate Change Strategy 2050</v>
      </c>
      <c r="D58" s="1" t="s">
        <v>3319</v>
      </c>
      <c r="E58" s="1" t="s">
        <v>3320</v>
      </c>
      <c r="F58" s="1" t="s">
        <v>144</v>
      </c>
      <c r="G58" s="1"/>
      <c r="H58" s="1">
        <v>2020.0</v>
      </c>
      <c r="I58" s="1" t="s">
        <v>924</v>
      </c>
      <c r="J58" s="1" t="s">
        <v>3335</v>
      </c>
      <c r="K58" s="4" t="s">
        <v>3336</v>
      </c>
      <c r="L58" s="1" t="s">
        <v>326</v>
      </c>
    </row>
    <row r="59">
      <c r="A59" s="1">
        <v>10233.0</v>
      </c>
      <c r="B59" s="1" t="s">
        <v>3337</v>
      </c>
      <c r="C59" s="1" t="str">
        <f>IFERROR(__xludf.DUMMYFUNCTION("GOOGLETRANSLATE(B59)"),"MADES approves the National Forest Strategy for Sustainable Growth")</f>
        <v>MADES approves the National Forest Strategy for Sustainable Growth</v>
      </c>
      <c r="D59" s="1" t="s">
        <v>3338</v>
      </c>
      <c r="E59" s="1" t="s">
        <v>3339</v>
      </c>
      <c r="F59" s="1" t="s">
        <v>144</v>
      </c>
      <c r="G59" s="1"/>
      <c r="H59" s="1">
        <v>2019.0</v>
      </c>
      <c r="I59" s="1" t="s">
        <v>924</v>
      </c>
      <c r="J59" s="1" t="s">
        <v>3340</v>
      </c>
      <c r="K59" s="4" t="s">
        <v>3341</v>
      </c>
      <c r="L59" s="1" t="s">
        <v>326</v>
      </c>
    </row>
    <row r="60">
      <c r="A60" s="1">
        <v>10233.0</v>
      </c>
      <c r="B60" s="1" t="s">
        <v>3342</v>
      </c>
      <c r="C60" s="1" t="str">
        <f>IFERROR(__xludf.DUMMYFUNCTION("GOOGLETRANSLATE(B60)"),"National forest strategy for sustainable growth (ENBCS)")</f>
        <v>National forest strategy for sustainable growth (ENBCS)</v>
      </c>
      <c r="D60" s="1" t="s">
        <v>3338</v>
      </c>
      <c r="E60" s="1" t="s">
        <v>3339</v>
      </c>
      <c r="F60" s="1" t="s">
        <v>144</v>
      </c>
      <c r="G60" s="1"/>
      <c r="H60" s="1">
        <v>2019.0</v>
      </c>
      <c r="I60" s="1" t="s">
        <v>924</v>
      </c>
      <c r="J60" s="1" t="s">
        <v>3343</v>
      </c>
      <c r="K60" s="4" t="s">
        <v>3344</v>
      </c>
      <c r="L60" s="1" t="s">
        <v>23</v>
      </c>
    </row>
    <row r="61">
      <c r="A61" s="1">
        <v>1541.0</v>
      </c>
      <c r="B61" s="1" t="s">
        <v>3345</v>
      </c>
      <c r="C61" s="1" t="str">
        <f>IFERROR(__xludf.DUMMYFUNCTION("GOOGLETRANSLATE(B61)"),"Biofuel Market Promotion Law")</f>
        <v>Biofuel Market Promotion Law</v>
      </c>
      <c r="D61" s="1" t="s">
        <v>3346</v>
      </c>
      <c r="E61" s="1" t="s">
        <v>3347</v>
      </c>
      <c r="F61" s="1" t="s">
        <v>41</v>
      </c>
      <c r="G61" s="1"/>
      <c r="H61" s="1">
        <v>2003.0</v>
      </c>
      <c r="I61" s="1" t="s">
        <v>924</v>
      </c>
      <c r="J61" s="1" t="s">
        <v>3348</v>
      </c>
      <c r="K61" s="4" t="s">
        <v>3349</v>
      </c>
      <c r="L61" s="1" t="s">
        <v>23</v>
      </c>
    </row>
    <row r="62">
      <c r="A62" s="1">
        <v>1541.0</v>
      </c>
      <c r="B62" s="1" t="s">
        <v>3350</v>
      </c>
      <c r="C62" s="1" t="str">
        <f>IFERROR(__xludf.DUMMYFUNCTION("GOOGLETRANSLATE(B62)"),"Supreme Decree No. 013-2005-EM: Biofuel Market Promotion Law")</f>
        <v>Supreme Decree No. 013-2005-EM: Biofuel Market Promotion Law</v>
      </c>
      <c r="D62" s="1" t="s">
        <v>3346</v>
      </c>
      <c r="E62" s="1" t="s">
        <v>3347</v>
      </c>
      <c r="F62" s="1" t="s">
        <v>18</v>
      </c>
      <c r="G62" s="1"/>
      <c r="H62" s="1">
        <v>2007.0</v>
      </c>
      <c r="I62" s="1" t="s">
        <v>924</v>
      </c>
      <c r="J62" s="1" t="s">
        <v>3351</v>
      </c>
      <c r="K62" s="4" t="s">
        <v>3352</v>
      </c>
      <c r="L62" s="1" t="s">
        <v>23</v>
      </c>
    </row>
    <row r="63">
      <c r="A63" s="1">
        <v>1543.0</v>
      </c>
      <c r="B63" s="1" t="s">
        <v>3353</v>
      </c>
      <c r="C63" s="1" t="str">
        <f>IFERROR(__xludf.DUMMYFUNCTION("GOOGLETRANSLATE(B63)"),"Approves Law for the Promotion of Efficient Energy Use")</f>
        <v>Approves Law for the Promotion of Efficient Energy Use</v>
      </c>
      <c r="D63" s="1" t="s">
        <v>3346</v>
      </c>
      <c r="E63" s="1" t="s">
        <v>3347</v>
      </c>
      <c r="F63" s="9" t="s">
        <v>41</v>
      </c>
      <c r="G63" s="1"/>
      <c r="H63" s="1">
        <v>2000.0</v>
      </c>
      <c r="I63" s="1" t="s">
        <v>924</v>
      </c>
      <c r="J63" s="1" t="s">
        <v>3354</v>
      </c>
      <c r="K63" s="4" t="s">
        <v>3355</v>
      </c>
      <c r="L63" s="1" t="s">
        <v>23</v>
      </c>
    </row>
    <row r="64">
      <c r="A64" s="1">
        <v>1543.0</v>
      </c>
      <c r="B64" s="1" t="s">
        <v>3356</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3346</v>
      </c>
      <c r="E64" s="1" t="s">
        <v>3347</v>
      </c>
      <c r="F64" s="1" t="s">
        <v>18</v>
      </c>
      <c r="G64" s="1"/>
      <c r="H64" s="1">
        <v>2007.0</v>
      </c>
      <c r="I64" s="1" t="s">
        <v>924</v>
      </c>
      <c r="J64" s="1" t="s">
        <v>3357</v>
      </c>
      <c r="K64" s="4" t="s">
        <v>3358</v>
      </c>
      <c r="L64" s="1" t="s">
        <v>23</v>
      </c>
    </row>
    <row r="65">
      <c r="A65" s="1">
        <v>2054.0</v>
      </c>
      <c r="B65" s="1" t="s">
        <v>3359</v>
      </c>
      <c r="C65" s="1" t="str">
        <f>IFERROR(__xludf.DUMMYFUNCTION("GOOGLETRANSLATE(B65)"),"Supreme Decree No. 011-2015-MINAM: They approve the national strategy against climate change")</f>
        <v>Supreme Decree No. 011-2015-MINAM: They approve the national strategy against climate change</v>
      </c>
      <c r="D65" s="1" t="s">
        <v>3346</v>
      </c>
      <c r="E65" s="1" t="s">
        <v>3347</v>
      </c>
      <c r="F65" s="1" t="s">
        <v>18</v>
      </c>
      <c r="G65" s="1"/>
      <c r="H65" s="1">
        <v>2015.0</v>
      </c>
      <c r="I65" s="1" t="s">
        <v>924</v>
      </c>
      <c r="J65" s="1" t="s">
        <v>3360</v>
      </c>
      <c r="K65" s="4" t="s">
        <v>3361</v>
      </c>
      <c r="L65" s="1" t="s">
        <v>23</v>
      </c>
    </row>
    <row r="66">
      <c r="A66" s="1">
        <v>2054.0</v>
      </c>
      <c r="B66" s="1" t="s">
        <v>3362</v>
      </c>
      <c r="C66" s="1" t="str">
        <f>IFERROR(__xludf.DUMMYFUNCTION("GOOGLETRANSLATE(B66)"),"National Strategy against Climate Change 2015")</f>
        <v>National Strategy against Climate Change 2015</v>
      </c>
      <c r="D66" s="1" t="s">
        <v>3346</v>
      </c>
      <c r="E66" s="1" t="s">
        <v>3347</v>
      </c>
      <c r="F66" s="1" t="s">
        <v>144</v>
      </c>
      <c r="G66" s="1"/>
      <c r="H66" s="1">
        <v>2015.0</v>
      </c>
      <c r="I66" s="1" t="s">
        <v>924</v>
      </c>
      <c r="J66" s="1" t="s">
        <v>3363</v>
      </c>
      <c r="K66" s="4" t="s">
        <v>3364</v>
      </c>
      <c r="L66" s="1" t="s">
        <v>37</v>
      </c>
    </row>
    <row r="67">
      <c r="A67" s="1">
        <v>2054.0</v>
      </c>
      <c r="B67" s="1" t="s">
        <v>3365</v>
      </c>
      <c r="C67" s="1" t="str">
        <f>IFERROR(__xludf.DUMMYFUNCTION("GOOGLETRANSLATE(B67)"),"National strategy against climate change at 2050")</f>
        <v>National strategy against climate change at 2050</v>
      </c>
      <c r="D67" s="1" t="s">
        <v>3346</v>
      </c>
      <c r="E67" s="1" t="s">
        <v>3347</v>
      </c>
      <c r="F67" s="1" t="s">
        <v>144</v>
      </c>
      <c r="G67" s="1"/>
      <c r="H67" s="1">
        <v>2015.0</v>
      </c>
      <c r="I67" s="1" t="s">
        <v>924</v>
      </c>
      <c r="J67" s="1" t="s">
        <v>3366</v>
      </c>
      <c r="K67" s="4" t="s">
        <v>3367</v>
      </c>
      <c r="L67" s="1" t="s">
        <v>92</v>
      </c>
    </row>
    <row r="68">
      <c r="A68" s="1">
        <v>8625.0</v>
      </c>
      <c r="B68" s="1" t="s">
        <v>3368</v>
      </c>
      <c r="C68" s="1" t="str">
        <f>IFERROR(__xludf.DUMMYFUNCTION("GOOGLETRANSLATE(B68)"),"CLIMATE CHANGE FRAMEWORK")</f>
        <v>CLIMATE CHANGE FRAMEWORK</v>
      </c>
      <c r="D68" s="1" t="s">
        <v>3346</v>
      </c>
      <c r="E68" s="1" t="s">
        <v>3347</v>
      </c>
      <c r="F68" s="1" t="s">
        <v>41</v>
      </c>
      <c r="G68" s="1"/>
      <c r="H68" s="1">
        <v>2018.0</v>
      </c>
      <c r="I68" s="1" t="s">
        <v>924</v>
      </c>
      <c r="J68" s="1" t="s">
        <v>3369</v>
      </c>
      <c r="K68" s="4" t="s">
        <v>3370</v>
      </c>
      <c r="L68" s="1" t="s">
        <v>23</v>
      </c>
    </row>
    <row r="69">
      <c r="A69" s="1">
        <v>8625.0</v>
      </c>
      <c r="B69" s="1" t="s">
        <v>3371</v>
      </c>
      <c r="C69" s="1" t="str">
        <f>IFERROR(__xludf.DUMMYFUNCTION("GOOGLETRANSLATE(B69)"),"Supreme Decree that approves the Regulation of Law No. 30754, Climate Change Framework Law")</f>
        <v>Supreme Decree that approves the Regulation of Law No. 30754, Climate Change Framework Law</v>
      </c>
      <c r="D69" s="1" t="s">
        <v>3346</v>
      </c>
      <c r="E69" s="1" t="s">
        <v>3347</v>
      </c>
      <c r="F69" s="1" t="s">
        <v>18</v>
      </c>
      <c r="G69" s="9"/>
      <c r="H69" s="9">
        <v>2020.0</v>
      </c>
      <c r="I69" s="1" t="s">
        <v>924</v>
      </c>
      <c r="J69" s="1" t="s">
        <v>3372</v>
      </c>
      <c r="K69" s="4" t="s">
        <v>3373</v>
      </c>
      <c r="L69" s="1" t="s">
        <v>37</v>
      </c>
    </row>
    <row r="70">
      <c r="A70" s="1">
        <v>8760.0</v>
      </c>
      <c r="B70" s="1" t="s">
        <v>3374</v>
      </c>
      <c r="C70" s="1" t="str">
        <f>IFERROR(__xludf.DUMMYFUNCTION("GOOGLETRANSLATE(B70)"),"Supreme Decree No. 012-2016-MINAM: The Peruvian approves the gender and climate change plan of Peru")</f>
        <v>Supreme Decree No. 012-2016-MINAM: The Peruvian approves the gender and climate change plan of Peru</v>
      </c>
      <c r="D70" s="1" t="s">
        <v>3346</v>
      </c>
      <c r="E70" s="1" t="s">
        <v>3347</v>
      </c>
      <c r="F70" s="1" t="s">
        <v>18</v>
      </c>
      <c r="G70" s="1"/>
      <c r="H70" s="1">
        <v>2016.0</v>
      </c>
      <c r="I70" s="1" t="s">
        <v>924</v>
      </c>
      <c r="J70" s="1" t="s">
        <v>3375</v>
      </c>
      <c r="K70" s="4" t="s">
        <v>3376</v>
      </c>
      <c r="L70" s="1" t="s">
        <v>23</v>
      </c>
    </row>
    <row r="71">
      <c r="A71" s="1">
        <v>8760.0</v>
      </c>
      <c r="B71" s="1" t="s">
        <v>3377</v>
      </c>
      <c r="C71" s="1" t="str">
        <f>IFERROR(__xludf.DUMMYFUNCTION("GOOGLETRANSLATE(B71)"),"Gender Action Plan and Climate Change")</f>
        <v>Gender Action Plan and Climate Change</v>
      </c>
      <c r="D71" s="1" t="s">
        <v>3346</v>
      </c>
      <c r="E71" s="1" t="s">
        <v>3347</v>
      </c>
      <c r="F71" s="1" t="s">
        <v>368</v>
      </c>
      <c r="G71" s="9"/>
      <c r="H71" s="9">
        <v>2016.0</v>
      </c>
      <c r="I71" s="1" t="s">
        <v>924</v>
      </c>
      <c r="J71" s="1" t="s">
        <v>3378</v>
      </c>
      <c r="K71" s="4" t="s">
        <v>3379</v>
      </c>
      <c r="L71" s="1" t="s">
        <v>37</v>
      </c>
    </row>
    <row r="72">
      <c r="A72" s="1">
        <v>10175.0</v>
      </c>
      <c r="B72" s="1" t="s">
        <v>3380</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3346</v>
      </c>
      <c r="E72" s="1" t="s">
        <v>3347</v>
      </c>
      <c r="F72" s="1" t="s">
        <v>144</v>
      </c>
      <c r="G72" s="1"/>
      <c r="H72" s="1">
        <v>2021.0</v>
      </c>
      <c r="I72" s="1" t="s">
        <v>924</v>
      </c>
      <c r="J72" s="1" t="s">
        <v>3381</v>
      </c>
      <c r="K72" s="4" t="s">
        <v>3382</v>
      </c>
      <c r="L72" s="1" t="s">
        <v>23</v>
      </c>
    </row>
    <row r="73">
      <c r="A73" s="9">
        <v>10175.0</v>
      </c>
      <c r="B73" s="9" t="s">
        <v>3383</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3346</v>
      </c>
      <c r="E73" s="9" t="s">
        <v>3347</v>
      </c>
      <c r="F73" s="9" t="s">
        <v>1532</v>
      </c>
      <c r="G73" s="9"/>
      <c r="H73" s="9">
        <v>2020.0</v>
      </c>
      <c r="I73" s="9" t="s">
        <v>924</v>
      </c>
      <c r="J73" s="9" t="s">
        <v>3384</v>
      </c>
      <c r="K73" s="24" t="s">
        <v>3385</v>
      </c>
      <c r="L73" s="9" t="s">
        <v>37</v>
      </c>
      <c r="M73" s="3"/>
      <c r="N73" s="3"/>
      <c r="O73" s="3"/>
      <c r="P73" s="3"/>
      <c r="Q73" s="3"/>
      <c r="R73" s="3"/>
      <c r="S73" s="3"/>
    </row>
    <row r="74">
      <c r="A74" s="1">
        <v>1552.0</v>
      </c>
      <c r="B74" s="1" t="s">
        <v>3386</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3387</v>
      </c>
      <c r="E74" s="1" t="s">
        <v>3388</v>
      </c>
      <c r="F74" s="1" t="s">
        <v>45</v>
      </c>
      <c r="G74" s="1"/>
      <c r="H74" s="1">
        <v>2011.0</v>
      </c>
      <c r="I74" s="1" t="s">
        <v>24</v>
      </c>
      <c r="J74" s="1" t="s">
        <v>3389</v>
      </c>
      <c r="K74" s="4" t="s">
        <v>3390</v>
      </c>
      <c r="L74" s="1" t="s">
        <v>37</v>
      </c>
    </row>
    <row r="75">
      <c r="A75" s="1">
        <v>1552.0</v>
      </c>
      <c r="B75" s="1" t="s">
        <v>3391</v>
      </c>
      <c r="C75" s="1" t="str">
        <f>IFERROR(__xludf.DUMMYFUNCTION("GOOGLETRANSLATE(B75)"),"Administrative Order Implementing the Climate Change Act 2009")</f>
        <v>Administrative Order Implementing the Climate Change Act 2009</v>
      </c>
      <c r="D75" s="1" t="s">
        <v>3387</v>
      </c>
      <c r="E75" s="1" t="s">
        <v>3388</v>
      </c>
      <c r="F75" s="1" t="s">
        <v>1340</v>
      </c>
      <c r="G75" s="1"/>
      <c r="H75" s="1">
        <v>2010.0</v>
      </c>
      <c r="I75" s="1" t="s">
        <v>24</v>
      </c>
      <c r="J75" s="1" t="s">
        <v>3392</v>
      </c>
      <c r="K75" s="4" t="s">
        <v>3393</v>
      </c>
      <c r="L75" s="1" t="s">
        <v>37</v>
      </c>
    </row>
    <row r="76">
      <c r="A76" s="1">
        <v>1553.0</v>
      </c>
      <c r="B76" s="1" t="s">
        <v>3394</v>
      </c>
      <c r="C76" s="1" t="str">
        <f>IFERROR(__xludf.DUMMYFUNCTION("GOOGLETRANSLATE(B76)"),"Renewable Energy Act 2008")</f>
        <v>Renewable Energy Act 2008</v>
      </c>
      <c r="D76" s="1" t="s">
        <v>3387</v>
      </c>
      <c r="E76" s="1" t="s">
        <v>3388</v>
      </c>
      <c r="F76" s="1" t="s">
        <v>45</v>
      </c>
      <c r="G76" s="1"/>
      <c r="H76" s="1">
        <v>2008.0</v>
      </c>
      <c r="I76" s="1" t="s">
        <v>24</v>
      </c>
      <c r="J76" s="1" t="s">
        <v>3395</v>
      </c>
      <c r="K76" s="4" t="s">
        <v>3396</v>
      </c>
      <c r="L76" s="1" t="s">
        <v>37</v>
      </c>
    </row>
    <row r="77">
      <c r="A77" s="1">
        <v>1553.0</v>
      </c>
      <c r="B77" s="1" t="s">
        <v>3397</v>
      </c>
      <c r="C77" s="1" t="str">
        <f>IFERROR(__xludf.DUMMYFUNCTION("GOOGLETRANSLATE(B77)"),"Guidelines for the Policy of Maintaining the Share of Renewable Energy in the Country")</f>
        <v>Guidelines for the Policy of Maintaining the Share of Renewable Energy in the Country</v>
      </c>
      <c r="D77" s="1" t="s">
        <v>3387</v>
      </c>
      <c r="E77" s="1" t="s">
        <v>3388</v>
      </c>
      <c r="F77" s="1" t="s">
        <v>45</v>
      </c>
      <c r="G77" s="1"/>
      <c r="H77" s="1">
        <v>2015.0</v>
      </c>
      <c r="I77" s="1" t="s">
        <v>24</v>
      </c>
      <c r="J77" s="1" t="s">
        <v>3398</v>
      </c>
      <c r="K77" s="4" t="s">
        <v>3399</v>
      </c>
      <c r="L77" s="1" t="s">
        <v>37</v>
      </c>
    </row>
    <row r="78">
      <c r="A78" s="1">
        <v>1554.0</v>
      </c>
      <c r="B78" s="1" t="s">
        <v>3400</v>
      </c>
      <c r="C78" s="1" t="str">
        <f>IFERROR(__xludf.DUMMYFUNCTION("GOOGLETRANSLATE(B78)"),"Biofuels Act 2006")</f>
        <v>Biofuels Act 2006</v>
      </c>
      <c r="D78" s="1" t="s">
        <v>3387</v>
      </c>
      <c r="E78" s="1" t="s">
        <v>3388</v>
      </c>
      <c r="F78" s="1" t="s">
        <v>45</v>
      </c>
      <c r="G78" s="1"/>
      <c r="H78" s="1">
        <v>2006.0</v>
      </c>
      <c r="I78" s="1" t="s">
        <v>24</v>
      </c>
      <c r="J78" s="1" t="s">
        <v>3401</v>
      </c>
      <c r="K78" s="4" t="s">
        <v>3402</v>
      </c>
      <c r="L78" s="1" t="s">
        <v>37</v>
      </c>
    </row>
    <row r="79">
      <c r="A79" s="1">
        <v>1554.0</v>
      </c>
      <c r="B79" s="1" t="s">
        <v>3403</v>
      </c>
      <c r="C79" s="1" t="str">
        <f>IFERROR(__xludf.DUMMYFUNCTION("GOOGLETRANSLATE(B79)"),"Amendment to Biofuels Act 2006")</f>
        <v>Amendment to Biofuels Act 2006</v>
      </c>
      <c r="D79" s="1" t="s">
        <v>3387</v>
      </c>
      <c r="E79" s="1" t="s">
        <v>3388</v>
      </c>
      <c r="F79" s="1" t="s">
        <v>45</v>
      </c>
      <c r="G79" s="1"/>
      <c r="H79" s="1">
        <v>2015.0</v>
      </c>
      <c r="I79" s="1" t="s">
        <v>24</v>
      </c>
      <c r="J79" s="1" t="s">
        <v>3404</v>
      </c>
      <c r="K79" s="4" t="s">
        <v>3405</v>
      </c>
      <c r="L79" s="1" t="s">
        <v>48</v>
      </c>
    </row>
    <row r="80">
      <c r="A80" s="1">
        <v>1554.0</v>
      </c>
      <c r="B80" s="1" t="s">
        <v>3406</v>
      </c>
      <c r="C80" s="1" t="str">
        <f>IFERROR(__xludf.DUMMYFUNCTION("GOOGLETRANSLATE(B80)"),"Rules and Regulations Implementing Biofuels Act 2016")</f>
        <v>Rules and Regulations Implementing Biofuels Act 2016</v>
      </c>
      <c r="D80" s="1" t="s">
        <v>3387</v>
      </c>
      <c r="E80" s="1" t="s">
        <v>3388</v>
      </c>
      <c r="F80" s="9" t="s">
        <v>34</v>
      </c>
      <c r="G80" s="1"/>
      <c r="H80" s="1">
        <v>2007.0</v>
      </c>
      <c r="I80" s="1" t="s">
        <v>24</v>
      </c>
      <c r="J80" s="1" t="s">
        <v>3407</v>
      </c>
      <c r="K80" s="4" t="s">
        <v>3408</v>
      </c>
      <c r="L80" s="1" t="s">
        <v>37</v>
      </c>
    </row>
    <row r="81">
      <c r="A81" s="1">
        <v>1554.0</v>
      </c>
      <c r="B81" s="1" t="s">
        <v>3409</v>
      </c>
      <c r="C81" s="1" t="str">
        <f>IFERROR(__xludf.DUMMYFUNCTION("GOOGLETRANSLATE(B81)"),"Mandatory Use of Biofuel Blend")</f>
        <v>Mandatory Use of Biofuel Blend</v>
      </c>
      <c r="D81" s="1" t="s">
        <v>3387</v>
      </c>
      <c r="E81" s="1" t="s">
        <v>3388</v>
      </c>
      <c r="F81" s="9" t="s">
        <v>34</v>
      </c>
      <c r="G81" s="1"/>
      <c r="H81" s="1">
        <v>2011.0</v>
      </c>
      <c r="I81" s="1" t="s">
        <v>24</v>
      </c>
      <c r="J81" s="1" t="s">
        <v>3410</v>
      </c>
      <c r="K81" s="4" t="s">
        <v>3411</v>
      </c>
      <c r="L81" s="1" t="s">
        <v>23</v>
      </c>
    </row>
    <row r="82">
      <c r="A82" s="1">
        <v>1554.0</v>
      </c>
      <c r="B82" s="1" t="s">
        <v>3412</v>
      </c>
      <c r="C82" s="1" t="str">
        <f>IFERROR(__xludf.DUMMYFUNCTION("GOOGLETRANSLATE(B82)"),"Amended Biofuelds Act 2006")</f>
        <v>Amended Biofuelds Act 2006</v>
      </c>
      <c r="D82" s="1" t="s">
        <v>3387</v>
      </c>
      <c r="E82" s="1" t="s">
        <v>3388</v>
      </c>
      <c r="F82" s="1" t="s">
        <v>45</v>
      </c>
      <c r="G82" s="1"/>
      <c r="H82" s="1">
        <v>2016.0</v>
      </c>
      <c r="I82" s="1" t="s">
        <v>24</v>
      </c>
      <c r="J82" s="1" t="s">
        <v>3413</v>
      </c>
      <c r="K82" s="4" t="s">
        <v>3414</v>
      </c>
      <c r="L82" s="1" t="s">
        <v>37</v>
      </c>
    </row>
    <row r="83">
      <c r="A83" s="1">
        <v>9640.0</v>
      </c>
      <c r="B83" s="1" t="s">
        <v>3415</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3387</v>
      </c>
      <c r="E83" s="1" t="s">
        <v>3388</v>
      </c>
      <c r="F83" s="1" t="s">
        <v>1340</v>
      </c>
      <c r="G83" s="1"/>
      <c r="H83" s="1">
        <v>2009.0</v>
      </c>
      <c r="I83" s="1" t="s">
        <v>24</v>
      </c>
      <c r="J83" s="1" t="s">
        <v>3416</v>
      </c>
      <c r="K83" s="4" t="s">
        <v>3417</v>
      </c>
      <c r="L83" s="1" t="s">
        <v>37</v>
      </c>
    </row>
    <row r="84">
      <c r="A84" s="1">
        <v>9640.0</v>
      </c>
      <c r="B84" s="1" t="s">
        <v>3418</v>
      </c>
      <c r="C84" s="1" t="str">
        <f>IFERROR(__xludf.DUMMYFUNCTION("GOOGLETRANSLATE(B84)"),"Executive Order No.774: REORGANIZING THE PRESIDENTIAL TASK FORCE ON CLIMATE CHANGE")</f>
        <v>Executive Order No.774: REORGANIZING THE PRESIDENTIAL TASK FORCE ON CLIMATE CHANGE</v>
      </c>
      <c r="D84" s="1" t="s">
        <v>3387</v>
      </c>
      <c r="E84" s="1" t="s">
        <v>3388</v>
      </c>
      <c r="F84" s="1" t="s">
        <v>1340</v>
      </c>
      <c r="G84" s="1"/>
      <c r="H84" s="1">
        <v>2008.0</v>
      </c>
      <c r="I84" s="1" t="s">
        <v>24</v>
      </c>
      <c r="J84" s="1" t="s">
        <v>3419</v>
      </c>
      <c r="K84" s="4" t="s">
        <v>3420</v>
      </c>
      <c r="L84" s="1" t="s">
        <v>275</v>
      </c>
    </row>
    <row r="85">
      <c r="A85" s="1">
        <v>9645.0</v>
      </c>
      <c r="B85" s="1" t="s">
        <v>3421</v>
      </c>
      <c r="C85" s="1" t="str">
        <f>IFERROR(__xludf.DUMMYFUNCTION("GOOGLETRANSLATE(B85)"),"Philippine Energy Plan 2016-2030")</f>
        <v>Philippine Energy Plan 2016-2030</v>
      </c>
      <c r="D85" s="1" t="s">
        <v>3387</v>
      </c>
      <c r="E85" s="1" t="s">
        <v>3388</v>
      </c>
      <c r="F85" s="1" t="s">
        <v>234</v>
      </c>
      <c r="G85" s="1"/>
      <c r="H85" s="1">
        <v>2016.0</v>
      </c>
      <c r="I85" s="1" t="s">
        <v>24</v>
      </c>
      <c r="J85" s="1" t="s">
        <v>3422</v>
      </c>
      <c r="K85" s="4" t="s">
        <v>3423</v>
      </c>
      <c r="L85" s="1" t="s">
        <v>37</v>
      </c>
    </row>
    <row r="86">
      <c r="A86" s="1">
        <v>9645.0</v>
      </c>
      <c r="B86" s="1" t="s">
        <v>3424</v>
      </c>
      <c r="C86" s="1" t="str">
        <f>IFERROR(__xludf.DUMMYFUNCTION("GOOGLETRANSLATE(B86)"),"Philippine Energy Plan 2018-2040")</f>
        <v>Philippine Energy Plan 2018-2040</v>
      </c>
      <c r="D86" s="1" t="s">
        <v>3387</v>
      </c>
      <c r="E86" s="1" t="s">
        <v>3388</v>
      </c>
      <c r="F86" s="1" t="s">
        <v>234</v>
      </c>
      <c r="G86" s="1"/>
      <c r="H86" s="1">
        <v>2018.0</v>
      </c>
      <c r="I86" s="1" t="s">
        <v>24</v>
      </c>
      <c r="J86" s="1" t="s">
        <v>3425</v>
      </c>
      <c r="K86" s="4" t="s">
        <v>3426</v>
      </c>
      <c r="L86" s="1" t="s">
        <v>37</v>
      </c>
    </row>
    <row r="87">
      <c r="A87" s="1">
        <v>10165.0</v>
      </c>
      <c r="B87" s="1" t="s">
        <v>3427</v>
      </c>
      <c r="C87" s="1" t="str">
        <f>IFERROR(__xludf.DUMMYFUNCTION("GOOGLETRANSLATE(B87)"),"DOE SEC. CUSI DECLARES MORATORIUM ON ENDORSEMENTS FOR GREENFIELD COAL POWER PLANTS")</f>
        <v>DOE SEC. CUSI DECLARES MORATORIUM ON ENDORSEMENTS FOR GREENFIELD COAL POWER PLANTS</v>
      </c>
      <c r="D87" s="1" t="s">
        <v>3387</v>
      </c>
      <c r="E87" s="1" t="s">
        <v>3388</v>
      </c>
      <c r="F87" s="9" t="s">
        <v>295</v>
      </c>
      <c r="G87" s="1"/>
      <c r="H87" s="1">
        <v>2020.0</v>
      </c>
      <c r="I87" s="1" t="s">
        <v>24</v>
      </c>
      <c r="J87" s="4" t="s">
        <v>3428</v>
      </c>
      <c r="K87" s="4" t="s">
        <v>3429</v>
      </c>
      <c r="L87" s="1" t="s">
        <v>37</v>
      </c>
    </row>
    <row r="88">
      <c r="A88" s="1">
        <v>10165.0</v>
      </c>
      <c r="B88" s="1" t="s">
        <v>3430</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3387</v>
      </c>
      <c r="E88" s="1" t="s">
        <v>3388</v>
      </c>
      <c r="F88" s="9" t="s">
        <v>295</v>
      </c>
      <c r="G88" s="1"/>
      <c r="H88" s="1">
        <v>2020.0</v>
      </c>
      <c r="I88" s="1" t="s">
        <v>24</v>
      </c>
      <c r="J88" s="4" t="s">
        <v>3431</v>
      </c>
      <c r="K88" s="4" t="s">
        <v>3432</v>
      </c>
      <c r="L88" s="1" t="s">
        <v>37</v>
      </c>
    </row>
    <row r="89">
      <c r="A89" s="1">
        <v>10183.0</v>
      </c>
      <c r="B89" s="1" t="s">
        <v>3433</v>
      </c>
      <c r="C89" s="1" t="str">
        <f>IFERROR(__xludf.DUMMYFUNCTION("GOOGLETRANSLATE(B89)"),"National Security Policy 2017-2022")</f>
        <v>National Security Policy 2017-2022</v>
      </c>
      <c r="D89" s="1" t="s">
        <v>3387</v>
      </c>
      <c r="E89" s="1" t="s">
        <v>3388</v>
      </c>
      <c r="F89" s="1" t="s">
        <v>407</v>
      </c>
      <c r="G89" s="1"/>
      <c r="H89" s="1">
        <v>2017.0</v>
      </c>
      <c r="I89" s="1" t="s">
        <v>24</v>
      </c>
      <c r="J89" s="1" t="s">
        <v>3434</v>
      </c>
      <c r="K89" s="4" t="s">
        <v>3435</v>
      </c>
      <c r="L89" s="1" t="s">
        <v>275</v>
      </c>
    </row>
    <row r="90">
      <c r="A90" s="1">
        <v>10183.0</v>
      </c>
      <c r="B90" s="1" t="s">
        <v>3436</v>
      </c>
      <c r="C90" s="1" t="str">
        <f>IFERROR(__xludf.DUMMYFUNCTION("GOOGLETRANSLATE(B90)"),"National Security Strategy")</f>
        <v>National Security Strategy</v>
      </c>
      <c r="D90" s="1" t="s">
        <v>3387</v>
      </c>
      <c r="E90" s="1" t="s">
        <v>3388</v>
      </c>
      <c r="F90" s="1" t="s">
        <v>144</v>
      </c>
      <c r="G90" s="1"/>
      <c r="H90" s="1">
        <v>2018.0</v>
      </c>
      <c r="I90" s="1" t="s">
        <v>24</v>
      </c>
      <c r="J90" s="1" t="s">
        <v>3437</v>
      </c>
      <c r="K90" s="4" t="s">
        <v>3438</v>
      </c>
      <c r="L90" s="1" t="s">
        <v>23</v>
      </c>
    </row>
    <row r="91">
      <c r="A91" s="1">
        <v>1560.0</v>
      </c>
      <c r="B91" s="1" t="s">
        <v>3439</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3440</v>
      </c>
      <c r="K91" s="4" t="s">
        <v>3441</v>
      </c>
      <c r="L91" s="1" t="s">
        <v>23</v>
      </c>
    </row>
    <row r="92">
      <c r="A92" s="1">
        <v>1560.0</v>
      </c>
      <c r="B92" s="1" t="s">
        <v>3442</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3443</v>
      </c>
      <c r="K92" s="4" t="s">
        <v>3444</v>
      </c>
      <c r="L92" s="1" t="s">
        <v>23</v>
      </c>
    </row>
    <row r="93">
      <c r="A93" s="1">
        <v>1564.0</v>
      </c>
      <c r="B93" s="1" t="s">
        <v>3445</v>
      </c>
      <c r="C93" s="1" t="str">
        <f>IFERROR(__xludf.DUMMYFUNCTION("GOOGLETRANSLATE(B93)"),"Energy Policy of Poland until 2030")</f>
        <v>Energy Policy of Poland until 2030</v>
      </c>
      <c r="D93" s="1" t="s">
        <v>2561</v>
      </c>
      <c r="E93" s="1" t="s">
        <v>2562</v>
      </c>
      <c r="F93" s="1" t="s">
        <v>407</v>
      </c>
      <c r="G93" s="1"/>
      <c r="H93" s="1">
        <v>2009.0</v>
      </c>
      <c r="I93" s="1" t="s">
        <v>24</v>
      </c>
      <c r="J93" s="1" t="s">
        <v>3446</v>
      </c>
      <c r="K93" s="4" t="s">
        <v>3447</v>
      </c>
      <c r="L93" s="1" t="s">
        <v>23</v>
      </c>
    </row>
    <row r="94">
      <c r="A94" s="1">
        <v>1564.0</v>
      </c>
      <c r="B94" s="1" t="s">
        <v>3448</v>
      </c>
      <c r="C94" s="1" t="str">
        <f>IFERROR(__xludf.DUMMYFUNCTION("GOOGLETRANSLATE(B94)"),"Poland's energy policy until 2030")</f>
        <v>Poland's energy policy until 2030</v>
      </c>
      <c r="D94" s="1" t="s">
        <v>2561</v>
      </c>
      <c r="E94" s="1" t="s">
        <v>2562</v>
      </c>
      <c r="F94" s="1" t="s">
        <v>407</v>
      </c>
      <c r="G94" s="1"/>
      <c r="H94" s="1">
        <v>2009.0</v>
      </c>
      <c r="I94" s="1" t="s">
        <v>2563</v>
      </c>
      <c r="J94" s="1" t="s">
        <v>3449</v>
      </c>
      <c r="K94" s="4" t="s">
        <v>3450</v>
      </c>
      <c r="L94" s="1" t="s">
        <v>23</v>
      </c>
    </row>
    <row r="95">
      <c r="A95" s="1">
        <v>1564.0</v>
      </c>
      <c r="B95" s="1" t="s">
        <v>3451</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3452</v>
      </c>
      <c r="K95" s="4" t="s">
        <v>3453</v>
      </c>
      <c r="L95" s="1" t="s">
        <v>23</v>
      </c>
    </row>
    <row r="96">
      <c r="A96" s="1">
        <v>2005.0</v>
      </c>
      <c r="B96" s="166" t="s">
        <v>3454</v>
      </c>
      <c r="C96" s="1" t="str">
        <f>IFERROR(__xludf.DUMMYFUNCTION("GOOGLETRANSLATE(B96)"),"Energy law")</f>
        <v>Energy law</v>
      </c>
      <c r="D96" s="1" t="s">
        <v>2561</v>
      </c>
      <c r="E96" s="1" t="s">
        <v>2562</v>
      </c>
      <c r="F96" s="1" t="s">
        <v>41</v>
      </c>
      <c r="G96" s="1"/>
      <c r="H96" s="1">
        <v>1997.0</v>
      </c>
      <c r="I96" s="1" t="s">
        <v>2563</v>
      </c>
      <c r="J96" s="1" t="s">
        <v>3455</v>
      </c>
      <c r="K96" s="4" t="s">
        <v>3456</v>
      </c>
      <c r="L96" s="1" t="s">
        <v>23</v>
      </c>
    </row>
    <row r="97">
      <c r="A97" s="1">
        <v>2005.0</v>
      </c>
      <c r="B97" s="1" t="s">
        <v>3457</v>
      </c>
      <c r="C97" s="1" t="str">
        <f>IFERROR(__xludf.DUMMYFUNCTION("GOOGLETRANSLATE(B97)"),"Energy Law")</f>
        <v>Energy Law</v>
      </c>
      <c r="D97" s="1" t="s">
        <v>2561</v>
      </c>
      <c r="E97" s="1" t="s">
        <v>2562</v>
      </c>
      <c r="F97" s="1" t="s">
        <v>41</v>
      </c>
      <c r="G97" s="1"/>
      <c r="H97" s="1">
        <v>1997.0</v>
      </c>
      <c r="I97" s="1" t="s">
        <v>24</v>
      </c>
      <c r="J97" s="1" t="s">
        <v>3458</v>
      </c>
      <c r="K97" s="4" t="s">
        <v>3459</v>
      </c>
      <c r="L97" s="1" t="s">
        <v>23</v>
      </c>
    </row>
    <row r="98">
      <c r="A98" s="1">
        <v>2009.0</v>
      </c>
      <c r="B98" s="1" t="s">
        <v>3460</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3461</v>
      </c>
      <c r="K98" s="4" t="s">
        <v>3462</v>
      </c>
      <c r="L98" s="1" t="s">
        <v>23</v>
      </c>
    </row>
    <row r="99">
      <c r="A99" s="1">
        <v>2009.0</v>
      </c>
      <c r="B99" s="1" t="s">
        <v>3463</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3464</v>
      </c>
      <c r="K99" s="4" t="s">
        <v>3465</v>
      </c>
      <c r="L99" s="1" t="s">
        <v>229</v>
      </c>
    </row>
    <row r="100">
      <c r="A100" s="1">
        <v>2010.0</v>
      </c>
      <c r="B100" s="1" t="s">
        <v>3466</v>
      </c>
      <c r="C100" s="1" t="str">
        <f>IFERROR(__xludf.DUMMYFUNCTION("GOOGLETRANSLATE(B100)"),"Act on renewable energy sources")</f>
        <v>Act on renewable energy sources</v>
      </c>
      <c r="D100" s="1" t="s">
        <v>2561</v>
      </c>
      <c r="E100" s="1" t="s">
        <v>2562</v>
      </c>
      <c r="F100" s="1" t="s">
        <v>45</v>
      </c>
      <c r="G100" s="1"/>
      <c r="H100" s="1">
        <v>2015.0</v>
      </c>
      <c r="I100" s="1" t="s">
        <v>2563</v>
      </c>
      <c r="J100" s="1" t="s">
        <v>3467</v>
      </c>
      <c r="K100" s="4" t="s">
        <v>3468</v>
      </c>
      <c r="L100" s="1" t="s">
        <v>23</v>
      </c>
    </row>
    <row r="101">
      <c r="A101" s="1">
        <v>2010.0</v>
      </c>
      <c r="B101" s="1" t="s">
        <v>3469</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3470</v>
      </c>
      <c r="K101" s="4" t="s">
        <v>3471</v>
      </c>
      <c r="L101" s="1" t="s">
        <v>839</v>
      </c>
    </row>
    <row r="102">
      <c r="A102" s="1">
        <v>8594.0</v>
      </c>
      <c r="B102" s="1" t="s">
        <v>3472</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3473</v>
      </c>
      <c r="K102" s="4" t="s">
        <v>3474</v>
      </c>
      <c r="L102" s="1" t="s">
        <v>23</v>
      </c>
    </row>
    <row r="103">
      <c r="A103" s="1">
        <v>8594.0</v>
      </c>
      <c r="B103" s="1" t="s">
        <v>3475</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3476</v>
      </c>
      <c r="K103" s="4" t="s">
        <v>3477</v>
      </c>
      <c r="L103" s="1" t="s">
        <v>229</v>
      </c>
    </row>
    <row r="104">
      <c r="A104" s="9">
        <v>9391.0</v>
      </c>
      <c r="B104" s="3"/>
      <c r="C104" s="9" t="str">
        <f>IFERROR(__xludf.DUMMYFUNCTION("GOOGLETRANSLATE(B104)"),"#VALUE!")</f>
        <v>#VALUE!</v>
      </c>
      <c r="D104" s="9" t="s">
        <v>2561</v>
      </c>
      <c r="E104" s="9" t="s">
        <v>2562</v>
      </c>
      <c r="F104" s="3"/>
      <c r="G104" s="3"/>
      <c r="H104" s="3"/>
      <c r="I104" s="3"/>
      <c r="J104" s="9" t="s">
        <v>3478</v>
      </c>
      <c r="K104" s="24" t="s">
        <v>3479</v>
      </c>
      <c r="L104" s="9" t="s">
        <v>229</v>
      </c>
      <c r="M104" s="3"/>
      <c r="N104" s="3"/>
      <c r="O104" s="3"/>
      <c r="P104" s="3"/>
      <c r="Q104" s="3"/>
      <c r="R104" s="3"/>
      <c r="S104" s="3"/>
    </row>
    <row r="105">
      <c r="A105" s="1">
        <v>9391.0</v>
      </c>
      <c r="B105" s="1" t="s">
        <v>3480</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3481</v>
      </c>
      <c r="K105" s="4" t="s">
        <v>3482</v>
      </c>
      <c r="L105" s="1" t="s">
        <v>23</v>
      </c>
    </row>
    <row r="106">
      <c r="A106" s="1">
        <v>9392.0</v>
      </c>
      <c r="B106" s="1" t="s">
        <v>3483</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3484</v>
      </c>
      <c r="K106" s="4" t="s">
        <v>3485</v>
      </c>
      <c r="L106" s="1" t="s">
        <v>275</v>
      </c>
    </row>
    <row r="107">
      <c r="A107" s="1">
        <v>9392.0</v>
      </c>
      <c r="B107" s="1" t="s">
        <v>3486</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3487</v>
      </c>
      <c r="K107" s="4" t="s">
        <v>3488</v>
      </c>
      <c r="L107" s="1" t="s">
        <v>23</v>
      </c>
    </row>
    <row r="108">
      <c r="A108" s="1">
        <v>9393.0</v>
      </c>
      <c r="B108" s="1" t="s">
        <v>3489</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3490</v>
      </c>
      <c r="K108" s="4" t="s">
        <v>3491</v>
      </c>
      <c r="L108" s="1" t="s">
        <v>229</v>
      </c>
    </row>
    <row r="109">
      <c r="A109" s="1">
        <v>9393.0</v>
      </c>
      <c r="B109" s="1" t="s">
        <v>3492</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3493</v>
      </c>
      <c r="K109" s="4" t="s">
        <v>3494</v>
      </c>
      <c r="L109" s="1" t="s">
        <v>229</v>
      </c>
    </row>
    <row r="110">
      <c r="A110" s="1">
        <v>9512.0</v>
      </c>
      <c r="B110" s="1" t="s">
        <v>3495</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3496</v>
      </c>
      <c r="K110" s="4" t="s">
        <v>3497</v>
      </c>
      <c r="L110" s="1" t="s">
        <v>23</v>
      </c>
    </row>
    <row r="111">
      <c r="A111" s="1">
        <v>9512.0</v>
      </c>
      <c r="B111" s="1" t="s">
        <v>3498</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3499</v>
      </c>
      <c r="K111" s="4" t="s">
        <v>3500</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3501</v>
      </c>
      <c r="C2" s="29" t="s">
        <v>432</v>
      </c>
      <c r="D2" s="29" t="s">
        <v>3150</v>
      </c>
      <c r="E2" s="29" t="s">
        <v>3151</v>
      </c>
      <c r="F2" s="29" t="s">
        <v>433</v>
      </c>
      <c r="G2" s="29" t="s">
        <v>433</v>
      </c>
      <c r="H2" s="29" t="s">
        <v>434</v>
      </c>
      <c r="I2" s="29" t="s">
        <v>407</v>
      </c>
      <c r="J2" s="29" t="s">
        <v>3502</v>
      </c>
      <c r="K2" s="29" t="s">
        <v>3503</v>
      </c>
      <c r="L2" s="29" t="s">
        <v>1736</v>
      </c>
      <c r="M2" s="29" t="s">
        <v>3504</v>
      </c>
      <c r="N2" s="29"/>
      <c r="O2" s="29"/>
      <c r="P2" s="29" t="s">
        <v>3505</v>
      </c>
    </row>
    <row r="3">
      <c r="A3" s="28">
        <v>1499.0</v>
      </c>
      <c r="B3" s="29" t="s">
        <v>3506</v>
      </c>
      <c r="C3" s="29" t="s">
        <v>432</v>
      </c>
      <c r="D3" s="29" t="s">
        <v>3150</v>
      </c>
      <c r="E3" s="29" t="s">
        <v>3151</v>
      </c>
      <c r="F3" s="30"/>
      <c r="G3" s="29" t="s">
        <v>441</v>
      </c>
      <c r="H3" s="29" t="s">
        <v>434</v>
      </c>
      <c r="I3" s="29" t="s">
        <v>407</v>
      </c>
      <c r="J3" s="30"/>
      <c r="K3" s="29" t="s">
        <v>3507</v>
      </c>
      <c r="L3" s="29" t="s">
        <v>593</v>
      </c>
      <c r="M3" s="29" t="s">
        <v>3508</v>
      </c>
      <c r="N3" s="29"/>
      <c r="O3" s="29"/>
      <c r="P3" s="29" t="s">
        <v>3509</v>
      </c>
    </row>
    <row r="4">
      <c r="A4" s="28">
        <v>1505.0</v>
      </c>
      <c r="B4" s="29" t="s">
        <v>3510</v>
      </c>
      <c r="C4" s="29" t="s">
        <v>449</v>
      </c>
      <c r="D4" s="29" t="s">
        <v>3150</v>
      </c>
      <c r="E4" s="29" t="s">
        <v>3151</v>
      </c>
      <c r="F4" s="30"/>
      <c r="G4" s="29" t="s">
        <v>441</v>
      </c>
      <c r="H4" s="29" t="s">
        <v>434</v>
      </c>
      <c r="I4" s="29" t="s">
        <v>41</v>
      </c>
      <c r="J4" s="30"/>
      <c r="K4" s="29" t="s">
        <v>3511</v>
      </c>
      <c r="L4" s="29" t="s">
        <v>3512</v>
      </c>
      <c r="M4" s="29" t="s">
        <v>3513</v>
      </c>
      <c r="N4" s="29"/>
      <c r="O4" s="29"/>
      <c r="P4" s="29" t="s">
        <v>3514</v>
      </c>
    </row>
    <row r="5">
      <c r="A5" s="28">
        <v>1506.0</v>
      </c>
      <c r="B5" s="29" t="s">
        <v>3515</v>
      </c>
      <c r="C5" s="29" t="s">
        <v>449</v>
      </c>
      <c r="D5" s="29" t="s">
        <v>3150</v>
      </c>
      <c r="E5" s="29" t="s">
        <v>3151</v>
      </c>
      <c r="F5" s="30"/>
      <c r="G5" s="29" t="s">
        <v>441</v>
      </c>
      <c r="H5" s="30"/>
      <c r="I5" s="29" t="s">
        <v>41</v>
      </c>
      <c r="J5" s="30"/>
      <c r="K5" s="29" t="s">
        <v>643</v>
      </c>
      <c r="L5" s="29" t="s">
        <v>1189</v>
      </c>
      <c r="M5" s="29" t="s">
        <v>3516</v>
      </c>
      <c r="N5" s="29"/>
      <c r="O5" s="29"/>
      <c r="P5" s="29" t="s">
        <v>3517</v>
      </c>
    </row>
    <row r="6">
      <c r="A6" s="28">
        <v>9367.0</v>
      </c>
      <c r="B6" s="29" t="s">
        <v>3180</v>
      </c>
      <c r="C6" s="29" t="s">
        <v>449</v>
      </c>
      <c r="D6" s="29" t="s">
        <v>3150</v>
      </c>
      <c r="E6" s="29" t="s">
        <v>3151</v>
      </c>
      <c r="F6" s="29" t="s">
        <v>441</v>
      </c>
      <c r="G6" s="29" t="s">
        <v>441</v>
      </c>
      <c r="H6" s="29" t="s">
        <v>2501</v>
      </c>
      <c r="I6" s="29" t="s">
        <v>45</v>
      </c>
      <c r="J6" s="30"/>
      <c r="K6" s="29" t="s">
        <v>3518</v>
      </c>
      <c r="L6" s="29" t="s">
        <v>1159</v>
      </c>
      <c r="M6" s="29" t="s">
        <v>3519</v>
      </c>
      <c r="N6" s="29"/>
      <c r="O6" s="29"/>
      <c r="P6" s="29" t="s">
        <v>3520</v>
      </c>
    </row>
    <row r="7">
      <c r="A7" s="28">
        <v>9368.0</v>
      </c>
      <c r="B7" s="29" t="s">
        <v>3521</v>
      </c>
      <c r="C7" s="29" t="s">
        <v>432</v>
      </c>
      <c r="D7" s="29" t="s">
        <v>3150</v>
      </c>
      <c r="E7" s="29" t="s">
        <v>3151</v>
      </c>
      <c r="F7" s="30"/>
      <c r="G7" s="29" t="s">
        <v>441</v>
      </c>
      <c r="H7" s="29" t="s">
        <v>3522</v>
      </c>
      <c r="I7" s="29" t="s">
        <v>3523</v>
      </c>
      <c r="J7" s="30"/>
      <c r="K7" s="29" t="s">
        <v>1141</v>
      </c>
      <c r="L7" s="29" t="s">
        <v>489</v>
      </c>
      <c r="M7" s="29" t="s">
        <v>3524</v>
      </c>
      <c r="N7" s="29"/>
      <c r="O7" s="29"/>
      <c r="P7" s="29" t="s">
        <v>3525</v>
      </c>
    </row>
    <row r="8">
      <c r="A8" s="28">
        <v>9455.0</v>
      </c>
      <c r="B8" s="29" t="s">
        <v>3526</v>
      </c>
      <c r="C8" s="29" t="s">
        <v>432</v>
      </c>
      <c r="D8" s="29" t="s">
        <v>3150</v>
      </c>
      <c r="E8" s="29" t="s">
        <v>3151</v>
      </c>
      <c r="F8" s="30"/>
      <c r="G8" s="29" t="s">
        <v>441</v>
      </c>
      <c r="H8" s="29" t="s">
        <v>3527</v>
      </c>
      <c r="I8" s="30"/>
      <c r="J8" s="30"/>
      <c r="K8" s="29" t="s">
        <v>620</v>
      </c>
      <c r="L8" s="29" t="s">
        <v>621</v>
      </c>
      <c r="M8" s="29" t="s">
        <v>3528</v>
      </c>
      <c r="N8" s="29"/>
      <c r="O8" s="29"/>
      <c r="P8" s="29" t="s">
        <v>3529</v>
      </c>
    </row>
    <row r="9">
      <c r="A9" s="28">
        <v>9511.0</v>
      </c>
      <c r="B9" s="29" t="s">
        <v>3530</v>
      </c>
      <c r="C9" s="29" t="s">
        <v>432</v>
      </c>
      <c r="D9" s="29" t="s">
        <v>3150</v>
      </c>
      <c r="E9" s="29" t="s">
        <v>3151</v>
      </c>
      <c r="F9" s="30"/>
      <c r="G9" s="29" t="s">
        <v>433</v>
      </c>
      <c r="H9" s="29" t="s">
        <v>1826</v>
      </c>
      <c r="I9" s="29" t="s">
        <v>234</v>
      </c>
      <c r="J9" s="29" t="s">
        <v>3531</v>
      </c>
      <c r="K9" s="29" t="s">
        <v>3532</v>
      </c>
      <c r="L9" s="29" t="s">
        <v>3533</v>
      </c>
      <c r="M9" s="29" t="s">
        <v>3534</v>
      </c>
      <c r="N9" s="29"/>
      <c r="O9" s="29"/>
      <c r="P9" s="29" t="s">
        <v>3535</v>
      </c>
    </row>
    <row r="10">
      <c r="A10" s="28">
        <v>1513.0</v>
      </c>
      <c r="B10" s="29" t="s">
        <v>3536</v>
      </c>
      <c r="C10" s="29" t="s">
        <v>449</v>
      </c>
      <c r="D10" s="29" t="s">
        <v>3207</v>
      </c>
      <c r="E10" s="29" t="s">
        <v>3208</v>
      </c>
      <c r="F10" s="29" t="s">
        <v>441</v>
      </c>
      <c r="G10" s="29" t="s">
        <v>433</v>
      </c>
      <c r="H10" s="29" t="s">
        <v>3537</v>
      </c>
      <c r="I10" s="29" t="s">
        <v>41</v>
      </c>
      <c r="J10" s="30"/>
      <c r="K10" s="29" t="s">
        <v>3538</v>
      </c>
      <c r="L10" s="29" t="s">
        <v>3539</v>
      </c>
      <c r="M10" s="29" t="s">
        <v>3540</v>
      </c>
      <c r="N10" s="29"/>
      <c r="O10" s="29"/>
      <c r="P10" s="29" t="s">
        <v>3541</v>
      </c>
    </row>
    <row r="11">
      <c r="A11" s="28">
        <v>4972.0</v>
      </c>
      <c r="B11" s="29" t="s">
        <v>3542</v>
      </c>
      <c r="C11" s="29" t="s">
        <v>449</v>
      </c>
      <c r="D11" s="29" t="s">
        <v>3219</v>
      </c>
      <c r="E11" s="29" t="s">
        <v>3220</v>
      </c>
      <c r="F11" s="30"/>
      <c r="G11" s="29" t="s">
        <v>441</v>
      </c>
      <c r="H11" s="29" t="s">
        <v>1157</v>
      </c>
      <c r="I11" s="29" t="s">
        <v>41</v>
      </c>
      <c r="J11" s="30"/>
      <c r="K11" s="29" t="s">
        <v>537</v>
      </c>
      <c r="L11" s="29" t="s">
        <v>489</v>
      </c>
      <c r="M11" s="29" t="s">
        <v>3543</v>
      </c>
      <c r="N11" s="29"/>
      <c r="O11" s="29"/>
      <c r="P11" s="29" t="s">
        <v>3544</v>
      </c>
    </row>
    <row r="12">
      <c r="A12" s="28">
        <v>9396.0</v>
      </c>
      <c r="B12" s="29" t="s">
        <v>3545</v>
      </c>
      <c r="C12" s="29" t="s">
        <v>432</v>
      </c>
      <c r="D12" s="29" t="s">
        <v>3219</v>
      </c>
      <c r="E12" s="29" t="s">
        <v>3220</v>
      </c>
      <c r="F12" s="30"/>
      <c r="G12" s="29" t="s">
        <v>441</v>
      </c>
      <c r="H12" s="29" t="s">
        <v>434</v>
      </c>
      <c r="I12" s="29" t="s">
        <v>3523</v>
      </c>
      <c r="J12" s="30"/>
      <c r="K12" s="29" t="s">
        <v>537</v>
      </c>
      <c r="L12" s="29" t="s">
        <v>489</v>
      </c>
      <c r="M12" s="29" t="s">
        <v>3546</v>
      </c>
      <c r="N12" s="29"/>
      <c r="O12" s="29"/>
      <c r="P12" s="29" t="s">
        <v>3547</v>
      </c>
    </row>
    <row r="13">
      <c r="A13" s="28">
        <v>9488.0</v>
      </c>
      <c r="B13" s="29" t="s">
        <v>3548</v>
      </c>
      <c r="C13" s="29" t="s">
        <v>432</v>
      </c>
      <c r="D13" s="29" t="s">
        <v>3236</v>
      </c>
      <c r="E13" s="29" t="s">
        <v>3237</v>
      </c>
      <c r="F13" s="30"/>
      <c r="G13" s="29" t="s">
        <v>441</v>
      </c>
      <c r="H13" s="29" t="s">
        <v>519</v>
      </c>
      <c r="I13" s="29" t="s">
        <v>234</v>
      </c>
      <c r="J13" s="30"/>
      <c r="K13" s="29" t="s">
        <v>3549</v>
      </c>
      <c r="L13" s="29" t="s">
        <v>489</v>
      </c>
      <c r="M13" s="29" t="s">
        <v>3550</v>
      </c>
      <c r="N13" s="29"/>
      <c r="O13" s="29"/>
      <c r="P13" s="29" t="s">
        <v>3551</v>
      </c>
    </row>
    <row r="14">
      <c r="A14" s="28">
        <v>1518.0</v>
      </c>
      <c r="B14" s="29" t="s">
        <v>3552</v>
      </c>
      <c r="C14" s="29" t="s">
        <v>432</v>
      </c>
      <c r="D14" s="29" t="s">
        <v>3244</v>
      </c>
      <c r="E14" s="29" t="s">
        <v>3245</v>
      </c>
      <c r="F14" s="29" t="s">
        <v>450</v>
      </c>
      <c r="G14" s="29" t="s">
        <v>450</v>
      </c>
      <c r="H14" s="29" t="s">
        <v>3553</v>
      </c>
      <c r="I14" s="29" t="s">
        <v>407</v>
      </c>
      <c r="J14" s="29" t="s">
        <v>3554</v>
      </c>
      <c r="K14" s="29" t="s">
        <v>450</v>
      </c>
      <c r="L14" s="29" t="s">
        <v>1747</v>
      </c>
      <c r="M14" s="29" t="s">
        <v>2360</v>
      </c>
      <c r="N14" s="29"/>
      <c r="O14" s="29"/>
      <c r="P14" s="29" t="s">
        <v>3555</v>
      </c>
    </row>
    <row r="15">
      <c r="A15" s="28">
        <v>1520.0</v>
      </c>
      <c r="B15" s="29" t="s">
        <v>3556</v>
      </c>
      <c r="C15" s="29" t="s">
        <v>449</v>
      </c>
      <c r="D15" s="29" t="s">
        <v>3244</v>
      </c>
      <c r="E15" s="29" t="s">
        <v>3245</v>
      </c>
      <c r="F15" s="30"/>
      <c r="G15" s="29" t="s">
        <v>441</v>
      </c>
      <c r="H15" s="29" t="s">
        <v>3557</v>
      </c>
      <c r="I15" s="29" t="s">
        <v>41</v>
      </c>
      <c r="J15" s="30"/>
      <c r="K15" s="29" t="s">
        <v>537</v>
      </c>
      <c r="L15" s="29" t="s">
        <v>489</v>
      </c>
      <c r="M15" s="29" t="s">
        <v>3558</v>
      </c>
      <c r="N15" s="29"/>
      <c r="O15" s="29"/>
      <c r="P15" s="29" t="s">
        <v>3559</v>
      </c>
    </row>
    <row r="16">
      <c r="A16" s="28">
        <v>1522.0</v>
      </c>
      <c r="B16" s="29" t="s">
        <v>3560</v>
      </c>
      <c r="C16" s="29" t="s">
        <v>449</v>
      </c>
      <c r="D16" s="29" t="s">
        <v>3244</v>
      </c>
      <c r="E16" s="29" t="s">
        <v>3245</v>
      </c>
      <c r="F16" s="30"/>
      <c r="G16" s="29" t="s">
        <v>441</v>
      </c>
      <c r="H16" s="29" t="s">
        <v>469</v>
      </c>
      <c r="I16" s="29" t="s">
        <v>41</v>
      </c>
      <c r="J16" s="30"/>
      <c r="K16" s="29" t="s">
        <v>542</v>
      </c>
      <c r="L16" s="29" t="s">
        <v>476</v>
      </c>
      <c r="M16" s="29" t="s">
        <v>3561</v>
      </c>
      <c r="N16" s="29"/>
      <c r="O16" s="29"/>
      <c r="P16" s="29" t="s">
        <v>3562</v>
      </c>
    </row>
    <row r="17">
      <c r="A17" s="28">
        <v>1523.0</v>
      </c>
      <c r="B17" s="29" t="s">
        <v>3563</v>
      </c>
      <c r="C17" s="29" t="s">
        <v>449</v>
      </c>
      <c r="D17" s="29" t="s">
        <v>3244</v>
      </c>
      <c r="E17" s="29" t="s">
        <v>3245</v>
      </c>
      <c r="F17" s="30"/>
      <c r="G17" s="29" t="s">
        <v>441</v>
      </c>
      <c r="H17" s="29" t="s">
        <v>434</v>
      </c>
      <c r="I17" s="29" t="s">
        <v>41</v>
      </c>
      <c r="J17" s="30"/>
      <c r="K17" s="29" t="s">
        <v>2942</v>
      </c>
      <c r="L17" s="29" t="s">
        <v>459</v>
      </c>
      <c r="M17" s="29" t="s">
        <v>3564</v>
      </c>
      <c r="N17" s="29"/>
      <c r="O17" s="29"/>
      <c r="P17" s="29" t="s">
        <v>3565</v>
      </c>
    </row>
    <row r="18">
      <c r="A18" s="28">
        <v>1524.0</v>
      </c>
      <c r="B18" s="29" t="s">
        <v>3566</v>
      </c>
      <c r="C18" s="29" t="s">
        <v>449</v>
      </c>
      <c r="D18" s="29" t="s">
        <v>3244</v>
      </c>
      <c r="E18" s="29" t="s">
        <v>3245</v>
      </c>
      <c r="F18" s="30"/>
      <c r="G18" s="29" t="s">
        <v>441</v>
      </c>
      <c r="H18" s="29" t="s">
        <v>592</v>
      </c>
      <c r="I18" s="29" t="s">
        <v>41</v>
      </c>
      <c r="J18" s="30"/>
      <c r="K18" s="29" t="s">
        <v>1293</v>
      </c>
      <c r="L18" s="30"/>
      <c r="M18" s="29" t="s">
        <v>3567</v>
      </c>
      <c r="N18" s="29"/>
      <c r="O18" s="29"/>
      <c r="P18" s="29" t="s">
        <v>3568</v>
      </c>
    </row>
    <row r="19">
      <c r="A19" s="28">
        <v>1525.0</v>
      </c>
      <c r="B19" s="29" t="s">
        <v>3569</v>
      </c>
      <c r="C19" s="29" t="s">
        <v>449</v>
      </c>
      <c r="D19" s="29" t="s">
        <v>3244</v>
      </c>
      <c r="E19" s="29" t="s">
        <v>3245</v>
      </c>
      <c r="F19" s="30"/>
      <c r="G19" s="29" t="s">
        <v>441</v>
      </c>
      <c r="H19" s="29" t="s">
        <v>434</v>
      </c>
      <c r="I19" s="29" t="s">
        <v>41</v>
      </c>
      <c r="J19" s="30"/>
      <c r="K19" s="29" t="s">
        <v>643</v>
      </c>
      <c r="L19" s="29" t="s">
        <v>489</v>
      </c>
      <c r="M19" s="29" t="s">
        <v>3570</v>
      </c>
      <c r="N19" s="29"/>
      <c r="O19" s="29"/>
      <c r="P19" s="29" t="s">
        <v>3571</v>
      </c>
    </row>
    <row r="20">
      <c r="A20" s="28">
        <v>1526.0</v>
      </c>
      <c r="B20" s="29" t="s">
        <v>3572</v>
      </c>
      <c r="C20" s="29" t="s">
        <v>449</v>
      </c>
      <c r="D20" s="29" t="s">
        <v>3244</v>
      </c>
      <c r="E20" s="29" t="s">
        <v>3245</v>
      </c>
      <c r="F20" s="30"/>
      <c r="G20" s="29" t="s">
        <v>441</v>
      </c>
      <c r="H20" s="29" t="s">
        <v>434</v>
      </c>
      <c r="I20" s="29" t="s">
        <v>41</v>
      </c>
      <c r="J20" s="30"/>
      <c r="K20" s="29" t="s">
        <v>493</v>
      </c>
      <c r="L20" s="29" t="s">
        <v>3573</v>
      </c>
      <c r="M20" s="29" t="s">
        <v>3574</v>
      </c>
      <c r="N20" s="29"/>
      <c r="O20" s="29"/>
      <c r="P20" s="29" t="s">
        <v>3575</v>
      </c>
    </row>
    <row r="21">
      <c r="A21" s="28">
        <v>8887.0</v>
      </c>
      <c r="B21" s="29" t="s">
        <v>3576</v>
      </c>
      <c r="C21" s="29" t="s">
        <v>449</v>
      </c>
      <c r="D21" s="29" t="s">
        <v>3244</v>
      </c>
      <c r="E21" s="29" t="s">
        <v>3245</v>
      </c>
      <c r="F21" s="30"/>
      <c r="G21" s="29" t="s">
        <v>679</v>
      </c>
      <c r="H21" s="29" t="s">
        <v>3577</v>
      </c>
      <c r="I21" s="29" t="s">
        <v>41</v>
      </c>
      <c r="J21" s="29" t="s">
        <v>3578</v>
      </c>
      <c r="K21" s="29" t="s">
        <v>3579</v>
      </c>
      <c r="L21" s="29" t="s">
        <v>3580</v>
      </c>
      <c r="M21" s="29" t="s">
        <v>3581</v>
      </c>
      <c r="N21" s="29"/>
      <c r="O21" s="29"/>
      <c r="P21" s="29" t="s">
        <v>3582</v>
      </c>
    </row>
    <row r="22">
      <c r="A22" s="28">
        <v>8891.0</v>
      </c>
      <c r="B22" s="29" t="s">
        <v>3583</v>
      </c>
      <c r="C22" s="29" t="s">
        <v>449</v>
      </c>
      <c r="D22" s="29" t="s">
        <v>3244</v>
      </c>
      <c r="E22" s="29" t="s">
        <v>3245</v>
      </c>
      <c r="F22" s="30"/>
      <c r="G22" s="29" t="s">
        <v>610</v>
      </c>
      <c r="H22" s="29" t="s">
        <v>692</v>
      </c>
      <c r="I22" s="29" t="s">
        <v>41</v>
      </c>
      <c r="J22" s="30"/>
      <c r="K22" s="29" t="s">
        <v>610</v>
      </c>
      <c r="L22" s="30"/>
      <c r="M22" s="29" t="s">
        <v>3584</v>
      </c>
      <c r="N22" s="29"/>
      <c r="O22" s="29"/>
      <c r="P22" s="29" t="s">
        <v>3585</v>
      </c>
    </row>
    <row r="23">
      <c r="A23" s="28">
        <v>9749.0</v>
      </c>
      <c r="B23" s="29" t="s">
        <v>3586</v>
      </c>
      <c r="C23" s="29" t="s">
        <v>432</v>
      </c>
      <c r="D23" s="29" t="s">
        <v>3244</v>
      </c>
      <c r="E23" s="29" t="s">
        <v>3245</v>
      </c>
      <c r="F23" s="30"/>
      <c r="G23" s="29" t="s">
        <v>441</v>
      </c>
      <c r="H23" s="29" t="s">
        <v>3587</v>
      </c>
      <c r="I23" s="29" t="s">
        <v>368</v>
      </c>
      <c r="J23" s="30"/>
      <c r="K23" s="29" t="s">
        <v>3588</v>
      </c>
      <c r="L23" s="29" t="s">
        <v>484</v>
      </c>
      <c r="M23" s="29" t="s">
        <v>3589</v>
      </c>
      <c r="N23" s="29"/>
      <c r="O23" s="29"/>
      <c r="P23" s="29" t="s">
        <v>3590</v>
      </c>
    </row>
    <row r="24">
      <c r="A24" s="28">
        <v>10252.0</v>
      </c>
      <c r="B24" s="29" t="s">
        <v>3311</v>
      </c>
      <c r="C24" s="29" t="s">
        <v>432</v>
      </c>
      <c r="D24" s="29" t="s">
        <v>3312</v>
      </c>
      <c r="E24" s="29" t="s">
        <v>3313</v>
      </c>
      <c r="F24" s="30"/>
      <c r="G24" s="29" t="s">
        <v>433</v>
      </c>
      <c r="H24" s="29" t="s">
        <v>434</v>
      </c>
      <c r="I24" s="29" t="s">
        <v>3022</v>
      </c>
      <c r="J24" s="30"/>
      <c r="K24" s="29" t="s">
        <v>3591</v>
      </c>
      <c r="L24" s="29" t="s">
        <v>3592</v>
      </c>
      <c r="M24" s="29" t="s">
        <v>3593</v>
      </c>
      <c r="N24" s="29"/>
      <c r="O24" s="29"/>
      <c r="P24" s="29" t="s">
        <v>3594</v>
      </c>
    </row>
    <row r="25">
      <c r="A25" s="28">
        <v>8685.0</v>
      </c>
      <c r="B25" s="29" t="s">
        <v>3595</v>
      </c>
      <c r="C25" s="29" t="s">
        <v>449</v>
      </c>
      <c r="D25" s="29" t="s">
        <v>3319</v>
      </c>
      <c r="E25" s="29" t="s">
        <v>3320</v>
      </c>
      <c r="F25" s="30"/>
      <c r="G25" s="29" t="s">
        <v>433</v>
      </c>
      <c r="H25" s="29" t="s">
        <v>474</v>
      </c>
      <c r="I25" s="29" t="s">
        <v>41</v>
      </c>
      <c r="J25" s="30"/>
      <c r="K25" s="29" t="s">
        <v>653</v>
      </c>
      <c r="L25" s="29" t="s">
        <v>465</v>
      </c>
      <c r="M25" s="29" t="s">
        <v>3596</v>
      </c>
      <c r="N25" s="29"/>
      <c r="O25" s="29"/>
      <c r="P25" s="29" t="s">
        <v>3597</v>
      </c>
    </row>
    <row r="26">
      <c r="A26" s="28">
        <v>9719.0</v>
      </c>
      <c r="B26" s="29" t="s">
        <v>3598</v>
      </c>
      <c r="C26" s="29" t="s">
        <v>432</v>
      </c>
      <c r="D26" s="29" t="s">
        <v>3319</v>
      </c>
      <c r="E26" s="29" t="s">
        <v>3320</v>
      </c>
      <c r="F26" s="30"/>
      <c r="G26" s="29" t="s">
        <v>441</v>
      </c>
      <c r="H26" s="29" t="s">
        <v>3599</v>
      </c>
      <c r="I26" s="29" t="s">
        <v>2963</v>
      </c>
      <c r="J26" s="30"/>
      <c r="K26" s="29" t="s">
        <v>3600</v>
      </c>
      <c r="L26" s="29" t="s">
        <v>476</v>
      </c>
      <c r="M26" s="29" t="s">
        <v>3601</v>
      </c>
      <c r="N26" s="29"/>
      <c r="O26" s="29"/>
      <c r="P26" s="29" t="s">
        <v>3602</v>
      </c>
    </row>
    <row r="27">
      <c r="A27" s="28">
        <v>10172.0</v>
      </c>
      <c r="B27" s="29" t="s">
        <v>3603</v>
      </c>
      <c r="C27" s="29" t="s">
        <v>432</v>
      </c>
      <c r="D27" s="29" t="s">
        <v>3319</v>
      </c>
      <c r="E27" s="29" t="s">
        <v>3320</v>
      </c>
      <c r="F27" s="30"/>
      <c r="G27" s="29" t="s">
        <v>433</v>
      </c>
      <c r="H27" s="29" t="s">
        <v>434</v>
      </c>
      <c r="I27" s="29" t="s">
        <v>144</v>
      </c>
      <c r="J27" s="29" t="s">
        <v>3604</v>
      </c>
      <c r="K27" s="29" t="s">
        <v>3605</v>
      </c>
      <c r="L27" s="29" t="s">
        <v>511</v>
      </c>
      <c r="M27" s="29" t="s">
        <v>3606</v>
      </c>
      <c r="N27" s="29"/>
      <c r="O27" s="29"/>
      <c r="P27" s="29" t="s">
        <v>3607</v>
      </c>
    </row>
    <row r="28">
      <c r="A28" s="28">
        <v>10233.0</v>
      </c>
      <c r="B28" s="29" t="s">
        <v>3608</v>
      </c>
      <c r="C28" s="29" t="s">
        <v>432</v>
      </c>
      <c r="D28" s="29" t="s">
        <v>3338</v>
      </c>
      <c r="E28" s="29" t="s">
        <v>3339</v>
      </c>
      <c r="F28" s="30"/>
      <c r="G28" s="29" t="s">
        <v>433</v>
      </c>
      <c r="H28" s="29" t="s">
        <v>1114</v>
      </c>
      <c r="I28" s="29" t="s">
        <v>144</v>
      </c>
      <c r="J28" s="30"/>
      <c r="K28" s="29" t="s">
        <v>3609</v>
      </c>
      <c r="L28" s="29" t="s">
        <v>465</v>
      </c>
      <c r="M28" s="29" t="s">
        <v>3610</v>
      </c>
      <c r="N28" s="29"/>
      <c r="O28" s="29"/>
      <c r="P28" s="29" t="s">
        <v>3611</v>
      </c>
    </row>
    <row r="29">
      <c r="A29" s="28">
        <v>1541.0</v>
      </c>
      <c r="B29" s="29" t="s">
        <v>3612</v>
      </c>
      <c r="C29" s="29" t="s">
        <v>449</v>
      </c>
      <c r="D29" s="29" t="s">
        <v>3346</v>
      </c>
      <c r="E29" s="29" t="s">
        <v>3347</v>
      </c>
      <c r="F29" s="30"/>
      <c r="G29" s="29" t="s">
        <v>441</v>
      </c>
      <c r="H29" s="29" t="s">
        <v>3613</v>
      </c>
      <c r="I29" s="29" t="s">
        <v>41</v>
      </c>
      <c r="J29" s="30"/>
      <c r="K29" s="29" t="s">
        <v>1241</v>
      </c>
      <c r="L29" s="29" t="s">
        <v>3614</v>
      </c>
      <c r="M29" s="29" t="s">
        <v>3615</v>
      </c>
      <c r="N29" s="29"/>
      <c r="O29" s="29"/>
      <c r="P29" s="29" t="s">
        <v>3616</v>
      </c>
    </row>
    <row r="30">
      <c r="A30" s="28">
        <v>1543.0</v>
      </c>
      <c r="B30" s="29" t="s">
        <v>3617</v>
      </c>
      <c r="C30" s="29" t="s">
        <v>449</v>
      </c>
      <c r="D30" s="29" t="s">
        <v>3346</v>
      </c>
      <c r="E30" s="29" t="s">
        <v>3347</v>
      </c>
      <c r="F30" s="30"/>
      <c r="G30" s="29" t="s">
        <v>441</v>
      </c>
      <c r="H30" s="29" t="s">
        <v>3618</v>
      </c>
      <c r="I30" s="29" t="s">
        <v>41</v>
      </c>
      <c r="J30" s="30"/>
      <c r="K30" s="29" t="s">
        <v>3619</v>
      </c>
      <c r="L30" s="29" t="s">
        <v>621</v>
      </c>
      <c r="M30" s="29" t="s">
        <v>3620</v>
      </c>
      <c r="N30" s="29"/>
      <c r="O30" s="29"/>
      <c r="P30" s="29" t="s">
        <v>3621</v>
      </c>
    </row>
    <row r="31">
      <c r="A31" s="28">
        <v>2054.0</v>
      </c>
      <c r="B31" s="29" t="s">
        <v>3622</v>
      </c>
      <c r="C31" s="29" t="s">
        <v>432</v>
      </c>
      <c r="D31" s="29" t="s">
        <v>3346</v>
      </c>
      <c r="E31" s="29" t="s">
        <v>3347</v>
      </c>
      <c r="F31" s="29" t="s">
        <v>691</v>
      </c>
      <c r="G31" s="29" t="s">
        <v>664</v>
      </c>
      <c r="H31" s="29" t="s">
        <v>519</v>
      </c>
      <c r="I31" s="29" t="s">
        <v>144</v>
      </c>
      <c r="J31" s="29" t="s">
        <v>3623</v>
      </c>
      <c r="K31" s="29" t="s">
        <v>3624</v>
      </c>
      <c r="L31" s="29" t="s">
        <v>3625</v>
      </c>
      <c r="M31" s="29" t="s">
        <v>3626</v>
      </c>
      <c r="N31" s="29"/>
      <c r="O31" s="29"/>
      <c r="P31" s="29" t="s">
        <v>3627</v>
      </c>
    </row>
    <row r="32">
      <c r="A32" s="28">
        <v>8625.0</v>
      </c>
      <c r="B32" s="29" t="s">
        <v>3628</v>
      </c>
      <c r="C32" s="29" t="s">
        <v>449</v>
      </c>
      <c r="D32" s="29" t="s">
        <v>3346</v>
      </c>
      <c r="E32" s="29" t="s">
        <v>3347</v>
      </c>
      <c r="F32" s="29" t="s">
        <v>433</v>
      </c>
      <c r="G32" s="29" t="s">
        <v>433</v>
      </c>
      <c r="H32" s="29" t="s">
        <v>3629</v>
      </c>
      <c r="I32" s="29" t="s">
        <v>41</v>
      </c>
      <c r="J32" s="29" t="s">
        <v>3630</v>
      </c>
      <c r="K32" s="29" t="s">
        <v>1145</v>
      </c>
      <c r="L32" s="29" t="s">
        <v>3631</v>
      </c>
      <c r="M32" s="29" t="s">
        <v>3632</v>
      </c>
      <c r="N32" s="29"/>
      <c r="O32" s="29"/>
      <c r="P32" s="29" t="s">
        <v>3633</v>
      </c>
    </row>
    <row r="33">
      <c r="A33" s="28">
        <v>8760.0</v>
      </c>
      <c r="B33" s="29" t="s">
        <v>3634</v>
      </c>
      <c r="C33" s="29" t="s">
        <v>432</v>
      </c>
      <c r="D33" s="29" t="s">
        <v>3346</v>
      </c>
      <c r="E33" s="29" t="s">
        <v>3347</v>
      </c>
      <c r="F33" s="29" t="s">
        <v>450</v>
      </c>
      <c r="G33" s="29" t="s">
        <v>610</v>
      </c>
      <c r="H33" s="29" t="s">
        <v>634</v>
      </c>
      <c r="I33" s="29" t="s">
        <v>18</v>
      </c>
      <c r="J33" s="30"/>
      <c r="K33" s="29" t="s">
        <v>450</v>
      </c>
      <c r="L33" s="29" t="s">
        <v>3635</v>
      </c>
      <c r="M33" s="29" t="s">
        <v>3636</v>
      </c>
      <c r="N33" s="29"/>
      <c r="O33" s="29"/>
      <c r="P33" s="29" t="s">
        <v>3637</v>
      </c>
    </row>
    <row r="34">
      <c r="A34" s="28">
        <v>10175.0</v>
      </c>
      <c r="B34" s="29" t="s">
        <v>3638</v>
      </c>
      <c r="C34" s="29" t="s">
        <v>432</v>
      </c>
      <c r="D34" s="29" t="s">
        <v>3346</v>
      </c>
      <c r="E34" s="29" t="s">
        <v>3347</v>
      </c>
      <c r="F34" s="30"/>
      <c r="G34" s="29" t="s">
        <v>433</v>
      </c>
      <c r="H34" s="29" t="s">
        <v>1114</v>
      </c>
      <c r="I34" s="29" t="s">
        <v>144</v>
      </c>
      <c r="J34" s="30"/>
      <c r="K34" s="29" t="s">
        <v>3639</v>
      </c>
      <c r="L34" s="29" t="s">
        <v>465</v>
      </c>
      <c r="M34" s="29" t="s">
        <v>3640</v>
      </c>
      <c r="N34" s="29"/>
      <c r="O34" s="29"/>
      <c r="P34" s="29" t="s">
        <v>3641</v>
      </c>
    </row>
    <row r="35">
      <c r="A35" s="28">
        <v>1552.0</v>
      </c>
      <c r="B35" s="29" t="s">
        <v>3642</v>
      </c>
      <c r="C35" s="29" t="s">
        <v>449</v>
      </c>
      <c r="D35" s="29" t="s">
        <v>3387</v>
      </c>
      <c r="E35" s="29" t="s">
        <v>3388</v>
      </c>
      <c r="F35" s="29" t="s">
        <v>433</v>
      </c>
      <c r="G35" s="29" t="s">
        <v>664</v>
      </c>
      <c r="H35" s="29" t="s">
        <v>519</v>
      </c>
      <c r="I35" s="29" t="s">
        <v>41</v>
      </c>
      <c r="J35" s="29" t="s">
        <v>3643</v>
      </c>
      <c r="K35" s="29" t="s">
        <v>635</v>
      </c>
      <c r="L35" s="29" t="s">
        <v>3644</v>
      </c>
      <c r="M35" s="29" t="s">
        <v>3645</v>
      </c>
      <c r="N35" s="29"/>
      <c r="O35" s="29"/>
      <c r="P35" s="29" t="s">
        <v>3646</v>
      </c>
    </row>
    <row r="36">
      <c r="A36" s="28">
        <v>1553.0</v>
      </c>
      <c r="B36" s="29" t="s">
        <v>3647</v>
      </c>
      <c r="C36" s="29" t="s">
        <v>449</v>
      </c>
      <c r="D36" s="29" t="s">
        <v>3387</v>
      </c>
      <c r="E36" s="29" t="s">
        <v>3388</v>
      </c>
      <c r="F36" s="30"/>
      <c r="G36" s="29" t="s">
        <v>441</v>
      </c>
      <c r="H36" s="29" t="s">
        <v>1811</v>
      </c>
      <c r="I36" s="29" t="s">
        <v>41</v>
      </c>
      <c r="J36" s="30"/>
      <c r="K36" s="29" t="s">
        <v>643</v>
      </c>
      <c r="L36" s="29" t="s">
        <v>459</v>
      </c>
      <c r="M36" s="29" t="s">
        <v>3648</v>
      </c>
      <c r="N36" s="29"/>
      <c r="O36" s="29"/>
      <c r="P36" s="29" t="s">
        <v>3649</v>
      </c>
    </row>
    <row r="37">
      <c r="A37" s="28">
        <v>1554.0</v>
      </c>
      <c r="B37" s="29" t="s">
        <v>3650</v>
      </c>
      <c r="C37" s="29" t="s">
        <v>449</v>
      </c>
      <c r="D37" s="29" t="s">
        <v>3387</v>
      </c>
      <c r="E37" s="29" t="s">
        <v>3388</v>
      </c>
      <c r="F37" s="30"/>
      <c r="G37" s="29" t="s">
        <v>441</v>
      </c>
      <c r="H37" s="29" t="s">
        <v>634</v>
      </c>
      <c r="I37" s="29" t="s">
        <v>41</v>
      </c>
      <c r="J37" s="30"/>
      <c r="K37" s="29" t="s">
        <v>3651</v>
      </c>
      <c r="L37" s="29" t="s">
        <v>2412</v>
      </c>
      <c r="M37" s="29" t="s">
        <v>3652</v>
      </c>
      <c r="N37" s="29"/>
      <c r="O37" s="29"/>
      <c r="P37" s="29" t="s">
        <v>3653</v>
      </c>
    </row>
    <row r="38">
      <c r="A38" s="28">
        <v>9640.0</v>
      </c>
      <c r="B38" s="29" t="s">
        <v>3654</v>
      </c>
      <c r="C38" s="29" t="s">
        <v>432</v>
      </c>
      <c r="D38" s="29" t="s">
        <v>3387</v>
      </c>
      <c r="E38" s="29" t="s">
        <v>3388</v>
      </c>
      <c r="F38" s="30"/>
      <c r="G38" s="29" t="s">
        <v>433</v>
      </c>
      <c r="H38" s="29" t="s">
        <v>2501</v>
      </c>
      <c r="I38" s="29" t="s">
        <v>435</v>
      </c>
      <c r="J38" s="30"/>
      <c r="K38" s="29" t="s">
        <v>3655</v>
      </c>
      <c r="L38" s="29" t="s">
        <v>674</v>
      </c>
      <c r="M38" s="29" t="s">
        <v>3656</v>
      </c>
      <c r="N38" s="29"/>
      <c r="O38" s="29"/>
      <c r="P38" s="29" t="s">
        <v>3657</v>
      </c>
    </row>
    <row r="39">
      <c r="A39" s="28">
        <v>9645.0</v>
      </c>
      <c r="B39" s="29" t="s">
        <v>3424</v>
      </c>
      <c r="C39" s="29" t="s">
        <v>432</v>
      </c>
      <c r="D39" s="29" t="s">
        <v>3387</v>
      </c>
      <c r="E39" s="29" t="s">
        <v>3388</v>
      </c>
      <c r="F39" s="30"/>
      <c r="G39" s="29" t="s">
        <v>433</v>
      </c>
      <c r="H39" s="29" t="s">
        <v>482</v>
      </c>
      <c r="I39" s="29" t="s">
        <v>234</v>
      </c>
      <c r="J39" s="30"/>
      <c r="K39" s="29" t="s">
        <v>3658</v>
      </c>
      <c r="L39" s="29" t="s">
        <v>489</v>
      </c>
      <c r="M39" s="29" t="s">
        <v>3659</v>
      </c>
      <c r="N39" s="29"/>
      <c r="O39" s="29"/>
      <c r="P39" s="29" t="s">
        <v>3660</v>
      </c>
    </row>
    <row r="40">
      <c r="A40" s="28">
        <v>10165.0</v>
      </c>
      <c r="B40" s="29" t="s">
        <v>3661</v>
      </c>
      <c r="C40" s="29" t="s">
        <v>432</v>
      </c>
      <c r="D40" s="29" t="s">
        <v>3387</v>
      </c>
      <c r="E40" s="29" t="s">
        <v>3388</v>
      </c>
      <c r="F40" s="30"/>
      <c r="G40" s="29" t="s">
        <v>441</v>
      </c>
      <c r="H40" s="29" t="s">
        <v>469</v>
      </c>
      <c r="I40" s="29" t="s">
        <v>407</v>
      </c>
      <c r="J40" s="30"/>
      <c r="K40" s="29" t="s">
        <v>3662</v>
      </c>
      <c r="L40" s="29" t="s">
        <v>489</v>
      </c>
      <c r="M40" s="29" t="s">
        <v>3663</v>
      </c>
      <c r="N40" s="29"/>
      <c r="O40" s="29"/>
      <c r="P40" s="29" t="s">
        <v>3664</v>
      </c>
    </row>
    <row r="41">
      <c r="A41" s="28">
        <v>10183.0</v>
      </c>
      <c r="B41" s="29" t="s">
        <v>3665</v>
      </c>
      <c r="C41" s="29" t="s">
        <v>432</v>
      </c>
      <c r="D41" s="29" t="s">
        <v>3387</v>
      </c>
      <c r="E41" s="29" t="s">
        <v>3388</v>
      </c>
      <c r="F41" s="30"/>
      <c r="G41" s="29" t="s">
        <v>3123</v>
      </c>
      <c r="H41" s="29" t="s">
        <v>434</v>
      </c>
      <c r="I41" s="29" t="s">
        <v>407</v>
      </c>
      <c r="J41" s="30"/>
      <c r="K41" s="29" t="s">
        <v>3666</v>
      </c>
      <c r="L41" s="29" t="s">
        <v>3667</v>
      </c>
      <c r="M41" s="29" t="s">
        <v>3668</v>
      </c>
      <c r="N41" s="29"/>
      <c r="O41" s="29"/>
      <c r="P41" s="29" t="s">
        <v>3669</v>
      </c>
    </row>
    <row r="42">
      <c r="A42" s="28">
        <v>1560.0</v>
      </c>
      <c r="B42" s="29" t="s">
        <v>3670</v>
      </c>
      <c r="C42" s="29" t="s">
        <v>432</v>
      </c>
      <c r="D42" s="29" t="s">
        <v>2561</v>
      </c>
      <c r="E42" s="29" t="s">
        <v>2562</v>
      </c>
      <c r="F42" s="29" t="s">
        <v>450</v>
      </c>
      <c r="G42" s="29" t="s">
        <v>450</v>
      </c>
      <c r="H42" s="29" t="s">
        <v>3671</v>
      </c>
      <c r="I42" s="29" t="s">
        <v>144</v>
      </c>
      <c r="J42" s="29" t="s">
        <v>3672</v>
      </c>
      <c r="K42" s="29" t="s">
        <v>649</v>
      </c>
      <c r="L42" s="29" t="s">
        <v>3673</v>
      </c>
      <c r="M42" s="29" t="s">
        <v>3674</v>
      </c>
      <c r="N42" s="29"/>
      <c r="O42" s="29"/>
      <c r="P42" s="29" t="s">
        <v>3675</v>
      </c>
    </row>
    <row r="43">
      <c r="A43" s="28">
        <v>1564.0</v>
      </c>
      <c r="B43" s="29" t="s">
        <v>3676</v>
      </c>
      <c r="C43" s="29" t="s">
        <v>432</v>
      </c>
      <c r="D43" s="29" t="s">
        <v>2561</v>
      </c>
      <c r="E43" s="29" t="s">
        <v>2562</v>
      </c>
      <c r="F43" s="30"/>
      <c r="G43" s="29" t="s">
        <v>441</v>
      </c>
      <c r="H43" s="29" t="s">
        <v>434</v>
      </c>
      <c r="I43" s="29" t="s">
        <v>407</v>
      </c>
      <c r="J43" s="30"/>
      <c r="K43" s="29" t="s">
        <v>3677</v>
      </c>
      <c r="L43" s="29" t="s">
        <v>3678</v>
      </c>
      <c r="M43" s="29" t="s">
        <v>3679</v>
      </c>
      <c r="N43" s="29"/>
      <c r="O43" s="29"/>
      <c r="P43" s="29" t="s">
        <v>3680</v>
      </c>
    </row>
    <row r="44">
      <c r="A44" s="28">
        <v>2005.0</v>
      </c>
      <c r="B44" s="29" t="s">
        <v>3681</v>
      </c>
      <c r="C44" s="29" t="s">
        <v>449</v>
      </c>
      <c r="D44" s="29" t="s">
        <v>2561</v>
      </c>
      <c r="E44" s="29" t="s">
        <v>2562</v>
      </c>
      <c r="F44" s="30"/>
      <c r="G44" s="29" t="s">
        <v>441</v>
      </c>
      <c r="H44" s="29" t="s">
        <v>434</v>
      </c>
      <c r="I44" s="29" t="s">
        <v>41</v>
      </c>
      <c r="J44" s="30"/>
      <c r="K44" s="29" t="s">
        <v>659</v>
      </c>
      <c r="L44" s="29" t="s">
        <v>489</v>
      </c>
      <c r="M44" s="29" t="s">
        <v>3682</v>
      </c>
      <c r="N44" s="29"/>
      <c r="O44" s="29"/>
      <c r="P44" s="29" t="s">
        <v>3683</v>
      </c>
    </row>
    <row r="45">
      <c r="A45" s="28">
        <v>2009.0</v>
      </c>
      <c r="B45" s="29" t="s">
        <v>3684</v>
      </c>
      <c r="C45" s="29" t="s">
        <v>449</v>
      </c>
      <c r="D45" s="29" t="s">
        <v>2561</v>
      </c>
      <c r="E45" s="29" t="s">
        <v>2562</v>
      </c>
      <c r="F45" s="30"/>
      <c r="G45" s="29" t="s">
        <v>441</v>
      </c>
      <c r="H45" s="29" t="s">
        <v>3685</v>
      </c>
      <c r="I45" s="29" t="s">
        <v>41</v>
      </c>
      <c r="J45" s="30"/>
      <c r="K45" s="29" t="s">
        <v>537</v>
      </c>
      <c r="L45" s="29" t="s">
        <v>3686</v>
      </c>
      <c r="M45" s="29" t="s">
        <v>3687</v>
      </c>
      <c r="N45" s="29"/>
      <c r="O45" s="29"/>
      <c r="P45" s="29" t="s">
        <v>3688</v>
      </c>
    </row>
    <row r="46">
      <c r="A46" s="28">
        <v>2010.0</v>
      </c>
      <c r="B46" s="29" t="s">
        <v>3689</v>
      </c>
      <c r="C46" s="29" t="s">
        <v>449</v>
      </c>
      <c r="D46" s="29" t="s">
        <v>2561</v>
      </c>
      <c r="E46" s="29" t="s">
        <v>2562</v>
      </c>
      <c r="F46" s="30"/>
      <c r="G46" s="29" t="s">
        <v>441</v>
      </c>
      <c r="H46" s="29" t="s">
        <v>2480</v>
      </c>
      <c r="I46" s="29" t="s">
        <v>41</v>
      </c>
      <c r="J46" s="30"/>
      <c r="K46" s="29" t="s">
        <v>659</v>
      </c>
      <c r="L46" s="29" t="s">
        <v>3690</v>
      </c>
      <c r="M46" s="29" t="s">
        <v>3691</v>
      </c>
      <c r="N46" s="29"/>
      <c r="O46" s="29"/>
      <c r="P46" s="29" t="s">
        <v>3692</v>
      </c>
    </row>
    <row r="47">
      <c r="A47" s="28">
        <v>8594.0</v>
      </c>
      <c r="B47" s="29" t="s">
        <v>3693</v>
      </c>
      <c r="C47" s="29" t="s">
        <v>449</v>
      </c>
      <c r="D47" s="29" t="s">
        <v>2561</v>
      </c>
      <c r="E47" s="29" t="s">
        <v>2562</v>
      </c>
      <c r="F47" s="30"/>
      <c r="G47" s="29" t="s">
        <v>441</v>
      </c>
      <c r="H47" s="29" t="s">
        <v>474</v>
      </c>
      <c r="I47" s="29" t="s">
        <v>41</v>
      </c>
      <c r="J47" s="30"/>
      <c r="K47" s="29" t="s">
        <v>537</v>
      </c>
      <c r="L47" s="29" t="s">
        <v>489</v>
      </c>
      <c r="M47" s="29" t="s">
        <v>3694</v>
      </c>
      <c r="N47" s="29"/>
      <c r="O47" s="29"/>
      <c r="P47" s="29" t="s">
        <v>3695</v>
      </c>
    </row>
    <row r="48">
      <c r="A48" s="28">
        <v>9391.0</v>
      </c>
      <c r="B48" s="29" t="s">
        <v>3696</v>
      </c>
      <c r="C48" s="29" t="s">
        <v>432</v>
      </c>
      <c r="D48" s="29" t="s">
        <v>2561</v>
      </c>
      <c r="E48" s="29" t="s">
        <v>2562</v>
      </c>
      <c r="F48" s="30"/>
      <c r="G48" s="29" t="s">
        <v>441</v>
      </c>
      <c r="H48" s="29" t="s">
        <v>3553</v>
      </c>
      <c r="I48" s="29" t="s">
        <v>234</v>
      </c>
      <c r="J48" s="30"/>
      <c r="K48" s="29" t="s">
        <v>1781</v>
      </c>
      <c r="L48" s="29" t="s">
        <v>459</v>
      </c>
      <c r="M48" s="29" t="s">
        <v>3697</v>
      </c>
      <c r="N48" s="29"/>
      <c r="O48" s="29"/>
      <c r="P48" s="29" t="s">
        <v>3698</v>
      </c>
    </row>
    <row r="49">
      <c r="A49" s="28">
        <v>9392.0</v>
      </c>
      <c r="B49" s="29" t="s">
        <v>3699</v>
      </c>
      <c r="C49" s="29" t="s">
        <v>449</v>
      </c>
      <c r="D49" s="29" t="s">
        <v>2561</v>
      </c>
      <c r="E49" s="29" t="s">
        <v>2562</v>
      </c>
      <c r="F49" s="30"/>
      <c r="G49" s="29" t="s">
        <v>441</v>
      </c>
      <c r="H49" s="29" t="s">
        <v>3036</v>
      </c>
      <c r="I49" s="29" t="s">
        <v>45</v>
      </c>
      <c r="J49" s="30"/>
      <c r="K49" s="29" t="s">
        <v>1781</v>
      </c>
      <c r="L49" s="29" t="s">
        <v>476</v>
      </c>
      <c r="M49" s="29" t="s">
        <v>3700</v>
      </c>
      <c r="N49" s="29"/>
      <c r="O49" s="29"/>
      <c r="P49" s="29" t="s">
        <v>3701</v>
      </c>
    </row>
    <row r="50">
      <c r="A50" s="28">
        <v>9393.0</v>
      </c>
      <c r="B50" s="29" t="s">
        <v>3702</v>
      </c>
      <c r="C50" s="29" t="s">
        <v>432</v>
      </c>
      <c r="D50" s="29" t="s">
        <v>2561</v>
      </c>
      <c r="E50" s="29" t="s">
        <v>2562</v>
      </c>
      <c r="F50" s="30"/>
      <c r="G50" s="29" t="s">
        <v>441</v>
      </c>
      <c r="H50" s="29" t="s">
        <v>442</v>
      </c>
      <c r="I50" s="29" t="s">
        <v>435</v>
      </c>
      <c r="J50" s="30"/>
      <c r="K50" s="29" t="s">
        <v>3703</v>
      </c>
      <c r="L50" s="29" t="s">
        <v>476</v>
      </c>
      <c r="M50" s="29" t="s">
        <v>3704</v>
      </c>
      <c r="N50" s="29"/>
      <c r="O50" s="29"/>
      <c r="P50" s="29" t="s">
        <v>3705</v>
      </c>
    </row>
    <row r="51">
      <c r="A51" s="28">
        <v>9512.0</v>
      </c>
      <c r="B51" s="29" t="s">
        <v>3706</v>
      </c>
      <c r="C51" s="29" t="s">
        <v>432</v>
      </c>
      <c r="D51" s="29" t="s">
        <v>2561</v>
      </c>
      <c r="E51" s="29" t="s">
        <v>2562</v>
      </c>
      <c r="F51" s="30"/>
      <c r="G51" s="29" t="s">
        <v>433</v>
      </c>
      <c r="H51" s="29" t="s">
        <v>3707</v>
      </c>
      <c r="I51" s="29" t="s">
        <v>234</v>
      </c>
      <c r="J51" s="30"/>
      <c r="K51" s="29" t="s">
        <v>3708</v>
      </c>
      <c r="L51" s="29" t="s">
        <v>3709</v>
      </c>
      <c r="M51" s="29" t="s">
        <v>1830</v>
      </c>
      <c r="N51" s="29"/>
      <c r="O51" s="29"/>
      <c r="P51" s="29" t="s">
        <v>3710</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c r="A2" s="170">
        <v>4982.0</v>
      </c>
      <c r="B2" s="168" t="s">
        <v>3711</v>
      </c>
      <c r="C2" s="167" t="str">
        <f>IFERROR(__xludf.DUMMYFUNCTION("googletranslate(B2)"),"Law on Disaster Response, Management and Preparedness")</f>
        <v>Law on Disaster Response, Management and Preparedness</v>
      </c>
      <c r="D2" s="167" t="s">
        <v>3712</v>
      </c>
      <c r="E2" s="167" t="s">
        <v>3713</v>
      </c>
      <c r="F2" s="167" t="s">
        <v>41</v>
      </c>
      <c r="G2" s="170"/>
      <c r="H2" s="170">
        <v>2012.0</v>
      </c>
      <c r="I2" s="167" t="s">
        <v>24</v>
      </c>
      <c r="J2" s="167" t="s">
        <v>3714</v>
      </c>
      <c r="K2" s="171" t="s">
        <v>3715</v>
      </c>
      <c r="L2" s="167" t="s">
        <v>3716</v>
      </c>
      <c r="M2" s="113"/>
      <c r="N2" s="167" t="s">
        <v>23</v>
      </c>
    </row>
    <row r="3">
      <c r="A3" s="170">
        <v>4982.0</v>
      </c>
      <c r="B3" s="170"/>
      <c r="C3" s="172"/>
      <c r="D3" s="167" t="s">
        <v>3712</v>
      </c>
      <c r="E3" s="167" t="s">
        <v>3713</v>
      </c>
      <c r="F3" s="167" t="s">
        <v>41</v>
      </c>
      <c r="G3" s="170"/>
      <c r="H3" s="170">
        <v>2012.0</v>
      </c>
      <c r="I3" s="167" t="s">
        <v>3717</v>
      </c>
      <c r="J3" s="167" t="s">
        <v>3718</v>
      </c>
      <c r="K3" s="171" t="s">
        <v>3719</v>
      </c>
      <c r="L3" s="167" t="s">
        <v>3716</v>
      </c>
      <c r="M3" s="167" t="s">
        <v>3720</v>
      </c>
      <c r="N3" s="167" t="s">
        <v>23</v>
      </c>
    </row>
    <row r="4">
      <c r="A4" s="173">
        <v>1014.0</v>
      </c>
      <c r="B4" s="174"/>
      <c r="C4" s="175" t="str">
        <f>IFERROR(__xludf.DUMMYFUNCTION("googletranslate(B4)"),"#VALUE!")</f>
        <v>#VALUE!</v>
      </c>
      <c r="D4" s="176" t="s">
        <v>3721</v>
      </c>
      <c r="E4" s="176" t="s">
        <v>3722</v>
      </c>
      <c r="F4" s="176" t="s">
        <v>41</v>
      </c>
      <c r="G4" s="173"/>
      <c r="H4" s="173">
        <v>1999.0</v>
      </c>
      <c r="I4" s="174"/>
      <c r="J4" s="176" t="s">
        <v>3723</v>
      </c>
      <c r="K4" s="177" t="s">
        <v>3724</v>
      </c>
      <c r="L4" s="176" t="s">
        <v>3716</v>
      </c>
      <c r="M4" s="174"/>
      <c r="N4" s="176" t="s">
        <v>2232</v>
      </c>
    </row>
    <row r="5">
      <c r="A5" s="170">
        <v>1014.0</v>
      </c>
      <c r="B5" s="168" t="s">
        <v>3725</v>
      </c>
      <c r="C5" s="167" t="str">
        <f>IFERROR(__xludf.DUMMYFUNCTION("googletranslate(B5)"),"Law No. 99-09 of July 28, 1999 relating to energy control")</f>
        <v>Law No. 99-09 of July 28, 1999 relating to energy control</v>
      </c>
      <c r="D5" s="167" t="s">
        <v>3721</v>
      </c>
      <c r="E5" s="167" t="s">
        <v>3722</v>
      </c>
      <c r="F5" s="167" t="s">
        <v>41</v>
      </c>
      <c r="G5" s="170"/>
      <c r="H5" s="170">
        <v>1999.0</v>
      </c>
      <c r="I5" s="168" t="s">
        <v>811</v>
      </c>
      <c r="J5" s="167" t="s">
        <v>3726</v>
      </c>
      <c r="K5" s="171" t="s">
        <v>3727</v>
      </c>
      <c r="L5" s="167" t="s">
        <v>3716</v>
      </c>
      <c r="M5" s="113"/>
      <c r="N5" s="167" t="s">
        <v>23</v>
      </c>
    </row>
    <row r="6">
      <c r="A6" s="170">
        <v>4902.0</v>
      </c>
      <c r="B6" s="168" t="s">
        <v>3728</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3729</v>
      </c>
      <c r="E6" s="167" t="s">
        <v>3730</v>
      </c>
      <c r="F6" s="168" t="s">
        <v>18</v>
      </c>
      <c r="G6" s="178"/>
      <c r="H6" s="178">
        <v>2012.0</v>
      </c>
      <c r="I6" s="168" t="s">
        <v>3731</v>
      </c>
      <c r="J6" s="167" t="s">
        <v>3732</v>
      </c>
      <c r="K6" s="171" t="s">
        <v>3733</v>
      </c>
      <c r="L6" s="167" t="s">
        <v>3716</v>
      </c>
      <c r="M6" s="113"/>
      <c r="N6" s="167" t="s">
        <v>23</v>
      </c>
    </row>
    <row r="7">
      <c r="A7" s="170">
        <v>4902.0</v>
      </c>
      <c r="B7" s="179" t="s">
        <v>3734</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3729</v>
      </c>
      <c r="E7" s="167" t="s">
        <v>3730</v>
      </c>
      <c r="F7" s="168" t="s">
        <v>18</v>
      </c>
      <c r="G7" s="178"/>
      <c r="H7" s="178">
        <v>2017.0</v>
      </c>
      <c r="I7" s="168" t="s">
        <v>3731</v>
      </c>
      <c r="J7" s="167" t="s">
        <v>3735</v>
      </c>
      <c r="K7" s="171" t="s">
        <v>3736</v>
      </c>
      <c r="L7" s="167" t="s">
        <v>3716</v>
      </c>
      <c r="M7" s="113"/>
      <c r="N7" s="167" t="s">
        <v>37</v>
      </c>
    </row>
    <row r="8">
      <c r="A8" s="170">
        <v>9792.0</v>
      </c>
      <c r="B8" s="179" t="s">
        <v>3737</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3729</v>
      </c>
      <c r="E8" s="167" t="s">
        <v>3730</v>
      </c>
      <c r="F8" s="168" t="s">
        <v>18</v>
      </c>
      <c r="G8" s="178"/>
      <c r="H8" s="178">
        <v>2017.0</v>
      </c>
      <c r="I8" s="168" t="s">
        <v>3731</v>
      </c>
      <c r="J8" s="167" t="s">
        <v>3738</v>
      </c>
      <c r="K8" s="171" t="s">
        <v>3739</v>
      </c>
      <c r="L8" s="167" t="s">
        <v>3716</v>
      </c>
      <c r="M8" s="113"/>
      <c r="N8" s="167" t="s">
        <v>37</v>
      </c>
    </row>
    <row r="9">
      <c r="A9" s="170">
        <v>9792.0</v>
      </c>
      <c r="B9" s="168" t="s">
        <v>3740</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3729</v>
      </c>
      <c r="E9" s="167" t="s">
        <v>3730</v>
      </c>
      <c r="F9" s="168" t="s">
        <v>18</v>
      </c>
      <c r="G9" s="178"/>
      <c r="H9" s="178">
        <v>2020.0</v>
      </c>
      <c r="I9" s="168" t="s">
        <v>3731</v>
      </c>
      <c r="J9" s="167" t="s">
        <v>3741</v>
      </c>
      <c r="K9" s="171" t="s">
        <v>3742</v>
      </c>
      <c r="L9" s="167" t="s">
        <v>3716</v>
      </c>
      <c r="M9" s="113"/>
      <c r="N9" s="167" t="s">
        <v>37</v>
      </c>
    </row>
    <row r="10">
      <c r="A10" s="170">
        <v>9792.0</v>
      </c>
      <c r="B10" s="179" t="s">
        <v>3743</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3729</v>
      </c>
      <c r="E10" s="167" t="s">
        <v>3730</v>
      </c>
      <c r="F10" s="168" t="s">
        <v>18</v>
      </c>
      <c r="G10" s="178"/>
      <c r="H10" s="178">
        <v>2019.0</v>
      </c>
      <c r="I10" s="168" t="s">
        <v>3731</v>
      </c>
      <c r="J10" s="167" t="s">
        <v>3744</v>
      </c>
      <c r="K10" s="171" t="s">
        <v>3745</v>
      </c>
      <c r="L10" s="167" t="s">
        <v>3716</v>
      </c>
      <c r="M10" s="113"/>
      <c r="N10" s="167" t="s">
        <v>37</v>
      </c>
    </row>
    <row r="11">
      <c r="A11" s="178">
        <v>9792.0</v>
      </c>
      <c r="B11" s="180" t="s">
        <v>3740</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3729</v>
      </c>
      <c r="E11" s="168" t="s">
        <v>3730</v>
      </c>
      <c r="F11" s="168" t="s">
        <v>18</v>
      </c>
      <c r="G11" s="178"/>
      <c r="H11" s="178">
        <v>2020.0</v>
      </c>
      <c r="I11" s="168" t="s">
        <v>3731</v>
      </c>
      <c r="J11" s="168" t="s">
        <v>3741</v>
      </c>
      <c r="K11" s="181" t="s">
        <v>3742</v>
      </c>
      <c r="L11" s="168" t="s">
        <v>3716</v>
      </c>
      <c r="M11" s="182"/>
      <c r="N11" s="168" t="s">
        <v>37</v>
      </c>
    </row>
    <row r="12">
      <c r="A12" s="170">
        <v>9793.0</v>
      </c>
      <c r="B12" s="168" t="s">
        <v>3746</v>
      </c>
      <c r="C12" s="183" t="s">
        <v>3747</v>
      </c>
      <c r="D12" s="167" t="s">
        <v>3729</v>
      </c>
      <c r="E12" s="167" t="s">
        <v>3730</v>
      </c>
      <c r="F12" s="168" t="s">
        <v>41</v>
      </c>
      <c r="G12" s="178"/>
      <c r="H12" s="178">
        <v>2016.0</v>
      </c>
      <c r="I12" s="168" t="s">
        <v>3731</v>
      </c>
      <c r="J12" s="167" t="s">
        <v>3748</v>
      </c>
      <c r="K12" s="171" t="s">
        <v>3749</v>
      </c>
      <c r="L12" s="167" t="s">
        <v>3716</v>
      </c>
      <c r="M12" s="113"/>
      <c r="N12" s="167" t="s">
        <v>839</v>
      </c>
    </row>
    <row r="13">
      <c r="A13" s="170">
        <v>9793.0</v>
      </c>
      <c r="B13" s="168" t="s">
        <v>3750</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3729</v>
      </c>
      <c r="E13" s="167" t="s">
        <v>3730</v>
      </c>
      <c r="F13" s="168" t="s">
        <v>41</v>
      </c>
      <c r="G13" s="178"/>
      <c r="H13" s="178">
        <v>2016.0</v>
      </c>
      <c r="I13" s="168" t="s">
        <v>3731</v>
      </c>
      <c r="J13" s="167" t="s">
        <v>3751</v>
      </c>
      <c r="K13" s="171" t="s">
        <v>3752</v>
      </c>
      <c r="L13" s="167" t="s">
        <v>3716</v>
      </c>
      <c r="M13" s="113"/>
      <c r="N13" s="167" t="s">
        <v>37</v>
      </c>
    </row>
    <row r="14">
      <c r="A14" s="170">
        <v>9796.0</v>
      </c>
      <c r="B14" s="168" t="s">
        <v>3753</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3729</v>
      </c>
      <c r="E14" s="167" t="s">
        <v>3730</v>
      </c>
      <c r="F14" s="168" t="s">
        <v>18</v>
      </c>
      <c r="G14" s="178"/>
      <c r="H14" s="178">
        <v>2020.0</v>
      </c>
      <c r="I14" s="168" t="s">
        <v>3731</v>
      </c>
      <c r="J14" s="167" t="s">
        <v>3754</v>
      </c>
      <c r="K14" s="171" t="s">
        <v>3755</v>
      </c>
      <c r="L14" s="167" t="s">
        <v>3716</v>
      </c>
      <c r="M14" s="113"/>
      <c r="N14" s="167" t="s">
        <v>37</v>
      </c>
    </row>
    <row r="15">
      <c r="A15" s="170">
        <v>9796.0</v>
      </c>
      <c r="B15" s="168" t="s">
        <v>3756</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3729</v>
      </c>
      <c r="E15" s="167" t="s">
        <v>3730</v>
      </c>
      <c r="F15" s="168" t="s">
        <v>3757</v>
      </c>
      <c r="G15" s="178"/>
      <c r="H15" s="178">
        <v>2021.0</v>
      </c>
      <c r="I15" s="168" t="s">
        <v>3731</v>
      </c>
      <c r="J15" s="167" t="s">
        <v>3758</v>
      </c>
      <c r="K15" s="171" t="s">
        <v>3759</v>
      </c>
      <c r="L15" s="167" t="s">
        <v>3716</v>
      </c>
      <c r="M15" s="113"/>
      <c r="N15" s="167" t="s">
        <v>37</v>
      </c>
    </row>
    <row r="16">
      <c r="A16" s="170">
        <v>8479.0</v>
      </c>
      <c r="B16" s="168" t="s">
        <v>3760</v>
      </c>
      <c r="C16" s="167" t="str">
        <f>IFERROR(__xludf.DUMMYFUNCTION("googletranslate(B16)"),"Environmental Protection and Management Act 10/2019")</f>
        <v>Environmental Protection and Management Act 10/2019</v>
      </c>
      <c r="D16" s="167" t="s">
        <v>3761</v>
      </c>
      <c r="E16" s="167" t="s">
        <v>3762</v>
      </c>
      <c r="F16" s="168" t="s">
        <v>45</v>
      </c>
      <c r="G16" s="178"/>
      <c r="H16" s="178">
        <v>2019.0</v>
      </c>
      <c r="I16" s="168" t="s">
        <v>24</v>
      </c>
      <c r="J16" s="167" t="s">
        <v>3763</v>
      </c>
      <c r="K16" s="171" t="s">
        <v>3764</v>
      </c>
      <c r="L16" s="167" t="s">
        <v>3716</v>
      </c>
      <c r="M16" s="113"/>
      <c r="N16" s="167" t="s">
        <v>23</v>
      </c>
    </row>
    <row r="17">
      <c r="A17" s="170">
        <v>8479.0</v>
      </c>
      <c r="B17" s="168" t="s">
        <v>3765</v>
      </c>
      <c r="C17" s="167" t="str">
        <f>IFERROR(__xludf.DUMMYFUNCTION("googletranslate(B17)"),"Environmental Protection and Management Act 11/2015")</f>
        <v>Environmental Protection and Management Act 11/2015</v>
      </c>
      <c r="D17" s="167" t="s">
        <v>3761</v>
      </c>
      <c r="E17" s="167" t="s">
        <v>3762</v>
      </c>
      <c r="F17" s="168" t="s">
        <v>45</v>
      </c>
      <c r="G17" s="178"/>
      <c r="H17" s="178">
        <v>2015.0</v>
      </c>
      <c r="I17" s="168" t="s">
        <v>24</v>
      </c>
      <c r="J17" s="167" t="s">
        <v>3766</v>
      </c>
      <c r="K17" s="171" t="s">
        <v>3767</v>
      </c>
      <c r="L17" s="167" t="s">
        <v>3716</v>
      </c>
      <c r="M17" s="113"/>
      <c r="N17" s="167" t="s">
        <v>23</v>
      </c>
    </row>
    <row r="18">
      <c r="A18" s="170">
        <v>8482.0</v>
      </c>
      <c r="B18" s="168" t="s">
        <v>3768</v>
      </c>
      <c r="C18" s="167" t="str">
        <f>IFERROR(__xludf.DUMMYFUNCTION("googletranslate(B18)"),"Physical Planning Act 2003")</f>
        <v>Physical Planning Act 2003</v>
      </c>
      <c r="D18" s="167" t="s">
        <v>3761</v>
      </c>
      <c r="E18" s="167" t="s">
        <v>3762</v>
      </c>
      <c r="F18" s="168" t="s">
        <v>45</v>
      </c>
      <c r="G18" s="178"/>
      <c r="H18" s="178">
        <v>2003.0</v>
      </c>
      <c r="I18" s="168" t="s">
        <v>24</v>
      </c>
      <c r="J18" s="167" t="s">
        <v>3769</v>
      </c>
      <c r="K18" s="171" t="s">
        <v>3770</v>
      </c>
      <c r="L18" s="167" t="s">
        <v>3716</v>
      </c>
      <c r="M18" s="113"/>
      <c r="N18" s="167" t="s">
        <v>23</v>
      </c>
    </row>
    <row r="19">
      <c r="A19" s="170">
        <v>8482.0</v>
      </c>
      <c r="B19" s="168" t="s">
        <v>3771</v>
      </c>
      <c r="C19" s="167" t="str">
        <f>IFERROR(__xludf.DUMMYFUNCTION("googletranslate(B19)"),"Sustainable Island Resource Management Zoning Plan")</f>
        <v>Sustainable Island Resource Management Zoning Plan</v>
      </c>
      <c r="D19" s="167" t="s">
        <v>3761</v>
      </c>
      <c r="E19" s="167" t="s">
        <v>3762</v>
      </c>
      <c r="F19" s="168" t="s">
        <v>234</v>
      </c>
      <c r="G19" s="178"/>
      <c r="H19" s="178">
        <v>2011.0</v>
      </c>
      <c r="I19" s="168" t="s">
        <v>24</v>
      </c>
      <c r="J19" s="167" t="s">
        <v>3772</v>
      </c>
      <c r="K19" s="171" t="s">
        <v>3773</v>
      </c>
      <c r="L19" s="167" t="s">
        <v>3716</v>
      </c>
      <c r="M19" s="113"/>
      <c r="N19" s="167" t="s">
        <v>23</v>
      </c>
    </row>
    <row r="20">
      <c r="A20" s="170">
        <v>8482.0</v>
      </c>
      <c r="B20" s="168" t="s">
        <v>3774</v>
      </c>
      <c r="C20" s="167" t="str">
        <f>IFERROR(__xludf.DUMMYFUNCTION("googletranslate(B20)"),"National Physical Development Plan")</f>
        <v>National Physical Development Plan</v>
      </c>
      <c r="D20" s="167" t="s">
        <v>3761</v>
      </c>
      <c r="E20" s="167" t="s">
        <v>3762</v>
      </c>
      <c r="F20" s="168" t="s">
        <v>234</v>
      </c>
      <c r="G20" s="178"/>
      <c r="H20" s="178">
        <v>2011.0</v>
      </c>
      <c r="I20" s="168" t="s">
        <v>24</v>
      </c>
      <c r="J20" s="167" t="s">
        <v>3775</v>
      </c>
      <c r="K20" s="171" t="s">
        <v>3776</v>
      </c>
      <c r="L20" s="167" t="s">
        <v>3716</v>
      </c>
      <c r="M20" s="113"/>
      <c r="N20" s="167" t="s">
        <v>37</v>
      </c>
    </row>
    <row r="21">
      <c r="A21" s="170">
        <v>8826.0</v>
      </c>
      <c r="B21" s="168" t="s">
        <v>3777</v>
      </c>
      <c r="C21" s="167" t="str">
        <f>IFERROR(__xludf.DUMMYFUNCTION("googletranslate(B21)"),"Emergency Powers (Hurricane, Earthquake, Fire or Flood) Act No. 5/57")</f>
        <v>Emergency Powers (Hurricane, Earthquake, Fire or Flood) Act No. 5/57</v>
      </c>
      <c r="D21" s="167" t="s">
        <v>3761</v>
      </c>
      <c r="E21" s="167" t="s">
        <v>3762</v>
      </c>
      <c r="F21" s="168" t="s">
        <v>45</v>
      </c>
      <c r="G21" s="178"/>
      <c r="H21" s="178">
        <v>1957.0</v>
      </c>
      <c r="I21" s="168" t="s">
        <v>24</v>
      </c>
      <c r="J21" s="167" t="s">
        <v>3778</v>
      </c>
      <c r="K21" s="171" t="s">
        <v>3779</v>
      </c>
      <c r="L21" s="167" t="s">
        <v>3716</v>
      </c>
      <c r="M21" s="113"/>
      <c r="N21" s="167" t="s">
        <v>23</v>
      </c>
    </row>
    <row r="22">
      <c r="A22" s="170">
        <v>8826.0</v>
      </c>
      <c r="B22" s="168" t="s">
        <v>3780</v>
      </c>
      <c r="C22" s="167" t="str">
        <f>IFERROR(__xludf.DUMMYFUNCTION("googletranslate(B22)"),"Disaster Management Act No. 13/02")</f>
        <v>Disaster Management Act No. 13/02</v>
      </c>
      <c r="D22" s="167" t="s">
        <v>3761</v>
      </c>
      <c r="E22" s="167" t="s">
        <v>3762</v>
      </c>
      <c r="F22" s="168" t="s">
        <v>45</v>
      </c>
      <c r="G22" s="178"/>
      <c r="H22" s="178">
        <v>2002.0</v>
      </c>
      <c r="I22" s="168" t="s">
        <v>24</v>
      </c>
      <c r="J22" s="167" t="s">
        <v>3781</v>
      </c>
      <c r="K22" s="171" t="s">
        <v>3782</v>
      </c>
      <c r="L22" s="167" t="s">
        <v>3716</v>
      </c>
      <c r="M22" s="113"/>
      <c r="N22" s="167" t="s">
        <v>23</v>
      </c>
    </row>
    <row r="23">
      <c r="A23" s="170">
        <v>2007.0</v>
      </c>
      <c r="B23" s="168" t="s">
        <v>3783</v>
      </c>
      <c r="C23" s="184" t="s">
        <v>3784</v>
      </c>
      <c r="D23" s="167" t="s">
        <v>3785</v>
      </c>
      <c r="E23" s="167" t="s">
        <v>3786</v>
      </c>
      <c r="F23" s="168" t="s">
        <v>41</v>
      </c>
      <c r="G23" s="178"/>
      <c r="H23" s="178">
        <v>2006.0</v>
      </c>
      <c r="I23" s="168" t="s">
        <v>924</v>
      </c>
      <c r="J23" s="167" t="s">
        <v>3787</v>
      </c>
      <c r="K23" s="171" t="s">
        <v>3788</v>
      </c>
      <c r="L23" s="167" t="s">
        <v>3716</v>
      </c>
      <c r="M23" s="113"/>
      <c r="N23" s="167" t="s">
        <v>23</v>
      </c>
    </row>
    <row r="24">
      <c r="A24" s="170">
        <v>2007.0</v>
      </c>
      <c r="B24" s="180" t="s">
        <v>3789</v>
      </c>
      <c r="C24" s="184" t="s">
        <v>3784</v>
      </c>
      <c r="D24" s="167" t="s">
        <v>3785</v>
      </c>
      <c r="E24" s="167" t="s">
        <v>3786</v>
      </c>
      <c r="F24" s="167" t="s">
        <v>41</v>
      </c>
      <c r="G24" s="170"/>
      <c r="H24" s="170">
        <v>2006.0</v>
      </c>
      <c r="I24" s="167" t="s">
        <v>924</v>
      </c>
      <c r="J24" s="167" t="s">
        <v>3790</v>
      </c>
      <c r="K24" s="171" t="s">
        <v>3791</v>
      </c>
      <c r="L24" s="167" t="s">
        <v>3716</v>
      </c>
      <c r="M24" s="113"/>
      <c r="N24" s="167" t="s">
        <v>23</v>
      </c>
    </row>
    <row r="25">
      <c r="A25" s="170">
        <v>2007.0</v>
      </c>
      <c r="B25" s="168" t="s">
        <v>3792</v>
      </c>
      <c r="C25" s="167" t="str">
        <f>IFERROR(__xludf.DUMMYFUNCTION("googletranslate(B25)"),"Regulatory Decree 531/2016")</f>
        <v>Regulatory Decree 531/2016</v>
      </c>
      <c r="D25" s="167" t="s">
        <v>3785</v>
      </c>
      <c r="E25" s="167" t="s">
        <v>3786</v>
      </c>
      <c r="F25" s="168" t="s">
        <v>18</v>
      </c>
      <c r="G25" s="178"/>
      <c r="H25" s="178">
        <v>2016.0</v>
      </c>
      <c r="I25" s="168" t="s">
        <v>924</v>
      </c>
      <c r="J25" s="167" t="s">
        <v>3793</v>
      </c>
      <c r="K25" s="171" t="s">
        <v>3794</v>
      </c>
      <c r="L25" s="167" t="s">
        <v>3716</v>
      </c>
      <c r="M25" s="113"/>
      <c r="N25" s="167" t="s">
        <v>92</v>
      </c>
    </row>
    <row r="26">
      <c r="A26" s="170">
        <v>2008.0</v>
      </c>
      <c r="B26" s="167" t="s">
        <v>3795</v>
      </c>
      <c r="C26" s="167" t="str">
        <f>IFERROR(__xludf.DUMMYFUNCTION("googletranslate(B26)"),"Law 27191")</f>
        <v>Law 27191</v>
      </c>
      <c r="D26" s="167" t="s">
        <v>3785</v>
      </c>
      <c r="E26" s="167" t="s">
        <v>3786</v>
      </c>
      <c r="F26" s="167" t="s">
        <v>41</v>
      </c>
      <c r="G26" s="170"/>
      <c r="H26" s="170">
        <v>2015.0</v>
      </c>
      <c r="I26" s="167" t="s">
        <v>924</v>
      </c>
      <c r="J26" s="167" t="s">
        <v>3796</v>
      </c>
      <c r="K26" s="171" t="s">
        <v>3797</v>
      </c>
      <c r="L26" s="167" t="s">
        <v>3716</v>
      </c>
      <c r="M26" s="113"/>
      <c r="N26" s="167" t="s">
        <v>23</v>
      </c>
    </row>
    <row r="27">
      <c r="A27" s="170">
        <v>2008.0</v>
      </c>
      <c r="B27" s="167" t="s">
        <v>3795</v>
      </c>
      <c r="C27" s="167" t="str">
        <f>IFERROR(__xludf.DUMMYFUNCTION("googletranslate(B27)"),"Law 27191")</f>
        <v>Law 27191</v>
      </c>
      <c r="D27" s="167" t="s">
        <v>3785</v>
      </c>
      <c r="E27" s="167" t="s">
        <v>3786</v>
      </c>
      <c r="F27" s="167" t="s">
        <v>41</v>
      </c>
      <c r="G27" s="170"/>
      <c r="H27" s="170">
        <v>2015.0</v>
      </c>
      <c r="I27" s="167" t="s">
        <v>924</v>
      </c>
      <c r="J27" s="167" t="s">
        <v>3798</v>
      </c>
      <c r="K27" s="171" t="s">
        <v>3799</v>
      </c>
      <c r="L27" s="167" t="s">
        <v>3716</v>
      </c>
      <c r="M27" s="113"/>
      <c r="N27" s="167" t="s">
        <v>23</v>
      </c>
    </row>
    <row r="28">
      <c r="A28" s="170">
        <v>9197.0</v>
      </c>
      <c r="B28" s="168" t="s">
        <v>3800</v>
      </c>
      <c r="C28" s="167" t="str">
        <f>IFERROR(__xludf.DUMMYFUNCTION("googletranslate(B28)"),"Decree 476/2019")</f>
        <v>Decree 476/2019</v>
      </c>
      <c r="D28" s="167" t="s">
        <v>3785</v>
      </c>
      <c r="E28" s="167" t="s">
        <v>3786</v>
      </c>
      <c r="F28" s="167" t="s">
        <v>18</v>
      </c>
      <c r="G28" s="170"/>
      <c r="H28" s="170">
        <v>2019.0</v>
      </c>
      <c r="I28" s="167" t="s">
        <v>924</v>
      </c>
      <c r="J28" s="167" t="s">
        <v>3801</v>
      </c>
      <c r="K28" s="171" t="s">
        <v>3802</v>
      </c>
      <c r="L28" s="167" t="s">
        <v>3716</v>
      </c>
      <c r="M28" s="113"/>
      <c r="N28" s="167" t="s">
        <v>37</v>
      </c>
    </row>
    <row r="29">
      <c r="A29" s="170">
        <v>9197.0</v>
      </c>
      <c r="B29" s="168" t="s">
        <v>3803</v>
      </c>
      <c r="C29" s="167" t="str">
        <f>IFERROR(__xludf.DUMMYFUNCTION("googletranslate(B29)"),"Decree 548/2019")</f>
        <v>Decree 548/2019</v>
      </c>
      <c r="D29" s="167" t="s">
        <v>3785</v>
      </c>
      <c r="E29" s="167" t="s">
        <v>3786</v>
      </c>
      <c r="F29" s="167" t="s">
        <v>18</v>
      </c>
      <c r="G29" s="170"/>
      <c r="H29" s="170">
        <v>2019.0</v>
      </c>
      <c r="I29" s="167" t="s">
        <v>924</v>
      </c>
      <c r="J29" s="167" t="s">
        <v>3804</v>
      </c>
      <c r="K29" s="171" t="s">
        <v>3805</v>
      </c>
      <c r="L29" s="167" t="s">
        <v>3716</v>
      </c>
      <c r="M29" s="113"/>
      <c r="N29" s="167" t="s">
        <v>37</v>
      </c>
    </row>
    <row r="30">
      <c r="A30" s="170">
        <v>8461.0</v>
      </c>
      <c r="B30" s="168" t="s">
        <v>3806</v>
      </c>
      <c r="C30" s="167" t="str">
        <f>IFERROR(__xludf.DUMMYFUNCTION("googletranslate(B30)"),"Armenia Development Strategy for 2014-2025")</f>
        <v>Armenia Development Strategy for 2014-2025</v>
      </c>
      <c r="D30" s="167" t="s">
        <v>3807</v>
      </c>
      <c r="E30" s="167" t="s">
        <v>3808</v>
      </c>
      <c r="F30" s="167" t="s">
        <v>144</v>
      </c>
      <c r="G30" s="170"/>
      <c r="H30" s="170">
        <v>2014.0</v>
      </c>
      <c r="I30" s="167" t="s">
        <v>24</v>
      </c>
      <c r="J30" s="167" t="s">
        <v>3809</v>
      </c>
      <c r="K30" s="171" t="s">
        <v>3810</v>
      </c>
      <c r="L30" s="167" t="s">
        <v>3716</v>
      </c>
      <c r="M30" s="113"/>
      <c r="N30" s="167" t="s">
        <v>23</v>
      </c>
    </row>
    <row r="31">
      <c r="A31" s="170">
        <v>8461.0</v>
      </c>
      <c r="B31" s="168" t="s">
        <v>3811</v>
      </c>
      <c r="C31" s="172" t="s">
        <v>3806</v>
      </c>
      <c r="D31" s="167" t="s">
        <v>3807</v>
      </c>
      <c r="E31" s="167" t="s">
        <v>3808</v>
      </c>
      <c r="F31" s="167" t="s">
        <v>144</v>
      </c>
      <c r="G31" s="170"/>
      <c r="H31" s="170">
        <v>2014.0</v>
      </c>
      <c r="I31" s="167" t="s">
        <v>3812</v>
      </c>
      <c r="J31" s="167" t="s">
        <v>3813</v>
      </c>
      <c r="K31" s="171" t="s">
        <v>3814</v>
      </c>
      <c r="L31" s="167" t="s">
        <v>3716</v>
      </c>
      <c r="M31" s="113"/>
      <c r="N31" s="167" t="s">
        <v>23</v>
      </c>
    </row>
    <row r="32">
      <c r="A32" s="170">
        <v>10193.0</v>
      </c>
      <c r="B32" s="168" t="s">
        <v>3815</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3807</v>
      </c>
      <c r="E32" s="167" t="s">
        <v>3808</v>
      </c>
      <c r="F32" s="167" t="s">
        <v>144</v>
      </c>
      <c r="G32" s="185"/>
      <c r="H32" s="185">
        <v>2019.0</v>
      </c>
      <c r="I32" s="167" t="s">
        <v>24</v>
      </c>
      <c r="J32" s="167" t="s">
        <v>3816</v>
      </c>
      <c r="K32" s="171" t="s">
        <v>3817</v>
      </c>
      <c r="L32" s="167" t="s">
        <v>3716</v>
      </c>
      <c r="M32" s="113"/>
      <c r="N32" s="167" t="s">
        <v>37</v>
      </c>
    </row>
    <row r="33">
      <c r="A33" s="170">
        <v>10193.0</v>
      </c>
      <c r="B33" s="168" t="s">
        <v>3818</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3807</v>
      </c>
      <c r="E33" s="167" t="s">
        <v>3808</v>
      </c>
      <c r="F33" s="167" t="s">
        <v>3819</v>
      </c>
      <c r="G33" s="185"/>
      <c r="H33" s="185">
        <v>2019.0</v>
      </c>
      <c r="I33" s="167" t="s">
        <v>24</v>
      </c>
      <c r="J33" s="167" t="s">
        <v>3820</v>
      </c>
      <c r="K33" s="171" t="s">
        <v>3821</v>
      </c>
      <c r="L33" s="167" t="s">
        <v>3716</v>
      </c>
      <c r="M33" s="113"/>
      <c r="N33" s="167" t="s">
        <v>37</v>
      </c>
    </row>
    <row r="34">
      <c r="A34" s="170">
        <v>10519.0</v>
      </c>
      <c r="B34" s="168" t="s">
        <v>3822</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3807</v>
      </c>
      <c r="E34" s="167" t="s">
        <v>3808</v>
      </c>
      <c r="F34" s="167" t="s">
        <v>18</v>
      </c>
      <c r="G34" s="170"/>
      <c r="H34" s="170">
        <v>2012.0</v>
      </c>
      <c r="I34" s="167" t="s">
        <v>24</v>
      </c>
      <c r="J34" s="167" t="s">
        <v>3823</v>
      </c>
      <c r="K34" s="171" t="s">
        <v>3824</v>
      </c>
      <c r="L34" s="167" t="s">
        <v>3716</v>
      </c>
      <c r="M34" s="113"/>
      <c r="N34" s="167" t="s">
        <v>23</v>
      </c>
    </row>
    <row r="35">
      <c r="A35" s="170">
        <v>10519.0</v>
      </c>
      <c r="B35" s="168" t="s">
        <v>3825</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3807</v>
      </c>
      <c r="E35" s="167" t="s">
        <v>3808</v>
      </c>
      <c r="F35" s="167" t="s">
        <v>18</v>
      </c>
      <c r="G35" s="170"/>
      <c r="H35" s="170">
        <v>2021.0</v>
      </c>
      <c r="I35" s="167" t="s">
        <v>24</v>
      </c>
      <c r="J35" s="167" t="s">
        <v>3826</v>
      </c>
      <c r="K35" s="171" t="s">
        <v>3827</v>
      </c>
      <c r="L35" s="167" t="s">
        <v>3716</v>
      </c>
      <c r="M35" s="113"/>
      <c r="N35" s="186" t="s">
        <v>48</v>
      </c>
    </row>
    <row r="36">
      <c r="A36" s="170">
        <v>1034.0</v>
      </c>
      <c r="B36" s="168" t="s">
        <v>3828</v>
      </c>
      <c r="C36" s="167" t="str">
        <f>IFERROR(__xludf.DUMMYFUNCTION("googletranslate(B36)"),"Australian National Registry of Emissions Units Act 2011")</f>
        <v>Australian National Registry of Emissions Units Act 2011</v>
      </c>
      <c r="D36" s="167" t="s">
        <v>3829</v>
      </c>
      <c r="E36" s="167" t="s">
        <v>3830</v>
      </c>
      <c r="F36" s="167" t="s">
        <v>45</v>
      </c>
      <c r="G36" s="170"/>
      <c r="H36" s="170">
        <v>2011.0</v>
      </c>
      <c r="I36" s="167" t="s">
        <v>24</v>
      </c>
      <c r="J36" s="167" t="s">
        <v>3831</v>
      </c>
      <c r="K36" s="171" t="s">
        <v>3832</v>
      </c>
      <c r="L36" s="167" t="s">
        <v>3716</v>
      </c>
      <c r="M36" s="113"/>
      <c r="N36" s="167" t="s">
        <v>92</v>
      </c>
    </row>
    <row r="37">
      <c r="A37" s="173">
        <v>1034.0</v>
      </c>
      <c r="B37" s="176" t="s">
        <v>3833</v>
      </c>
      <c r="C37" s="176" t="str">
        <f>IFERROR(__xludf.DUMMYFUNCTION("googletranslate(B37)"),"Emissions Reduction Fund")</f>
        <v>Emissions Reduction Fund</v>
      </c>
      <c r="D37" s="176" t="s">
        <v>3829</v>
      </c>
      <c r="E37" s="176" t="s">
        <v>3830</v>
      </c>
      <c r="F37" s="187" t="s">
        <v>850</v>
      </c>
      <c r="G37" s="174"/>
      <c r="H37" s="174"/>
      <c r="I37" s="176" t="s">
        <v>24</v>
      </c>
      <c r="J37" s="176" t="s">
        <v>3834</v>
      </c>
      <c r="K37" s="177" t="s">
        <v>3835</v>
      </c>
      <c r="L37" s="176" t="s">
        <v>3716</v>
      </c>
      <c r="M37" s="174"/>
      <c r="N37" s="176" t="s">
        <v>92</v>
      </c>
    </row>
    <row r="38">
      <c r="A38" s="170">
        <v>8779.0</v>
      </c>
      <c r="B38" s="168" t="s">
        <v>3836</v>
      </c>
      <c r="C38" s="167" t="str">
        <f>IFERROR(__xludf.DUMMYFUNCTION("googletranslate(B38)"),"Reef 2050 Long-Term Sustainability Plan")</f>
        <v>Reef 2050 Long-Term Sustainability Plan</v>
      </c>
      <c r="D38" s="167" t="s">
        <v>3829</v>
      </c>
      <c r="E38" s="167" t="s">
        <v>3830</v>
      </c>
      <c r="F38" s="167" t="s">
        <v>234</v>
      </c>
      <c r="G38" s="170"/>
      <c r="H38" s="170">
        <v>2015.0</v>
      </c>
      <c r="I38" s="167" t="s">
        <v>24</v>
      </c>
      <c r="J38" s="167" t="s">
        <v>3837</v>
      </c>
      <c r="K38" s="171" t="s">
        <v>3838</v>
      </c>
      <c r="L38" s="167" t="s">
        <v>3716</v>
      </c>
      <c r="M38" s="113"/>
      <c r="N38" s="167" t="s">
        <v>23</v>
      </c>
    </row>
    <row r="39">
      <c r="A39" s="170">
        <v>8779.0</v>
      </c>
      <c r="B39" s="180" t="s">
        <v>3836</v>
      </c>
      <c r="C39" s="167" t="str">
        <f>IFERROR(__xludf.DUMMYFUNCTION("googletranslate(B39)"),"Reef 2050 Long-Term Sustainability Plan")</f>
        <v>Reef 2050 Long-Term Sustainability Plan</v>
      </c>
      <c r="D39" s="167" t="s">
        <v>3829</v>
      </c>
      <c r="E39" s="167" t="s">
        <v>3830</v>
      </c>
      <c r="F39" s="167" t="s">
        <v>234</v>
      </c>
      <c r="G39" s="170"/>
      <c r="H39" s="170">
        <v>2018.0</v>
      </c>
      <c r="I39" s="167" t="s">
        <v>24</v>
      </c>
      <c r="J39" s="167" t="s">
        <v>3839</v>
      </c>
      <c r="K39" s="171" t="s">
        <v>3840</v>
      </c>
      <c r="L39" s="167" t="s">
        <v>3716</v>
      </c>
      <c r="M39" s="113"/>
      <c r="N39" s="167" t="s">
        <v>23</v>
      </c>
    </row>
    <row r="40">
      <c r="A40" s="170">
        <v>9764.0</v>
      </c>
      <c r="B40" s="167" t="s">
        <v>3841</v>
      </c>
      <c r="C40" s="167" t="str">
        <f>IFERROR(__xludf.DUMMYFUNCTION("googletranslate(B40)"),"Australia's National Hydrogen Strategy")</f>
        <v>Australia's National Hydrogen Strategy</v>
      </c>
      <c r="D40" s="167" t="s">
        <v>3829</v>
      </c>
      <c r="E40" s="167" t="s">
        <v>3830</v>
      </c>
      <c r="F40" s="167" t="s">
        <v>144</v>
      </c>
      <c r="G40" s="170"/>
      <c r="H40" s="170">
        <v>2019.0</v>
      </c>
      <c r="I40" s="167" t="s">
        <v>24</v>
      </c>
      <c r="J40" s="167" t="s">
        <v>3842</v>
      </c>
      <c r="K40" s="171" t="s">
        <v>3843</v>
      </c>
      <c r="L40" s="167" t="s">
        <v>3716</v>
      </c>
      <c r="M40" s="113"/>
      <c r="N40" s="167" t="s">
        <v>92</v>
      </c>
    </row>
    <row r="41">
      <c r="A41" s="170">
        <v>9764.0</v>
      </c>
      <c r="B41" s="167" t="s">
        <v>3841</v>
      </c>
      <c r="C41" s="167" t="str">
        <f>IFERROR(__xludf.DUMMYFUNCTION("googletranslate(B41)"),"Australia's National Hydrogen Strategy")</f>
        <v>Australia's National Hydrogen Strategy</v>
      </c>
      <c r="D41" s="167" t="s">
        <v>3829</v>
      </c>
      <c r="E41" s="167" t="s">
        <v>3830</v>
      </c>
      <c r="F41" s="167" t="s">
        <v>144</v>
      </c>
      <c r="G41" s="170"/>
      <c r="H41" s="170">
        <v>2019.0</v>
      </c>
      <c r="I41" s="167" t="s">
        <v>24</v>
      </c>
      <c r="J41" s="167" t="s">
        <v>3844</v>
      </c>
      <c r="K41" s="171" t="s">
        <v>3845</v>
      </c>
      <c r="L41" s="167" t="s">
        <v>3716</v>
      </c>
      <c r="M41" s="113"/>
      <c r="N41" s="167" t="s">
        <v>23</v>
      </c>
    </row>
    <row r="42">
      <c r="A42" s="170">
        <v>10328.0</v>
      </c>
      <c r="B42" s="167" t="s">
        <v>3846</v>
      </c>
      <c r="C42" s="167" t="str">
        <f>IFERROR(__xludf.DUMMYFUNCTION("googletranslate(B42)"),"Australia's Long-Term Emissions Reduction Plan")</f>
        <v>Australia's Long-Term Emissions Reduction Plan</v>
      </c>
      <c r="D42" s="167" t="s">
        <v>3829</v>
      </c>
      <c r="E42" s="167" t="s">
        <v>3830</v>
      </c>
      <c r="F42" s="167" t="s">
        <v>234</v>
      </c>
      <c r="G42" s="170"/>
      <c r="H42" s="170">
        <v>2021.0</v>
      </c>
      <c r="I42" s="167" t="s">
        <v>24</v>
      </c>
      <c r="J42" s="167" t="s">
        <v>3847</v>
      </c>
      <c r="K42" s="171" t="s">
        <v>3848</v>
      </c>
      <c r="L42" s="167" t="s">
        <v>3716</v>
      </c>
      <c r="M42" s="113"/>
      <c r="N42" s="167" t="s">
        <v>23</v>
      </c>
    </row>
    <row r="43">
      <c r="A43" s="170">
        <v>10328.0</v>
      </c>
      <c r="B43" s="168" t="s">
        <v>3849</v>
      </c>
      <c r="C43" s="167" t="str">
        <f>IFERROR(__xludf.DUMMYFUNCTION("googletranslate(B43)"),"The Plan to Deliver Net Zero the Australian Way")</f>
        <v>The Plan to Deliver Net Zero the Australian Way</v>
      </c>
      <c r="D43" s="167" t="s">
        <v>3829</v>
      </c>
      <c r="E43" s="167" t="s">
        <v>3830</v>
      </c>
      <c r="F43" s="167" t="s">
        <v>234</v>
      </c>
      <c r="G43" s="170"/>
      <c r="H43" s="170">
        <v>2021.0</v>
      </c>
      <c r="I43" s="167" t="s">
        <v>24</v>
      </c>
      <c r="J43" s="167" t="s">
        <v>3850</v>
      </c>
      <c r="K43" s="171" t="s">
        <v>3851</v>
      </c>
      <c r="L43" s="167" t="s">
        <v>3716</v>
      </c>
      <c r="M43" s="113"/>
      <c r="N43" s="167" t="s">
        <v>23</v>
      </c>
    </row>
    <row r="44">
      <c r="A44" s="170">
        <v>10333.0</v>
      </c>
      <c r="B44" s="168" t="s">
        <v>3852</v>
      </c>
      <c r="C44" s="167" t="str">
        <f>IFERROR(__xludf.DUMMYFUNCTION("googletranslate(B44)"),"Technology Investment Roadmap")</f>
        <v>Technology Investment Roadmap</v>
      </c>
      <c r="D44" s="167" t="s">
        <v>3829</v>
      </c>
      <c r="E44" s="167" t="s">
        <v>3830</v>
      </c>
      <c r="F44" s="167" t="s">
        <v>2329</v>
      </c>
      <c r="G44" s="169"/>
      <c r="H44" s="169">
        <v>2020.0</v>
      </c>
      <c r="I44" s="167" t="s">
        <v>24</v>
      </c>
      <c r="J44" s="167" t="s">
        <v>3853</v>
      </c>
      <c r="K44" s="171" t="s">
        <v>3854</v>
      </c>
      <c r="L44" s="167" t="s">
        <v>3716</v>
      </c>
      <c r="M44" s="113"/>
      <c r="N44" s="167" t="s">
        <v>92</v>
      </c>
    </row>
    <row r="45">
      <c r="A45" s="170">
        <v>10333.0</v>
      </c>
      <c r="B45" s="168" t="s">
        <v>3855</v>
      </c>
      <c r="C45" s="167" t="str">
        <f>IFERROR(__xludf.DUMMYFUNCTION("googletranslate(B45)"),"Low Emissions Technology Statement 2021")</f>
        <v>Low Emissions Technology Statement 2021</v>
      </c>
      <c r="D45" s="167" t="s">
        <v>3829</v>
      </c>
      <c r="E45" s="167" t="s">
        <v>3830</v>
      </c>
      <c r="F45" s="188" t="s">
        <v>903</v>
      </c>
      <c r="G45" s="170"/>
      <c r="H45" s="170">
        <v>2021.0</v>
      </c>
      <c r="I45" s="167" t="s">
        <v>24</v>
      </c>
      <c r="J45" s="167" t="s">
        <v>3856</v>
      </c>
      <c r="K45" s="171" t="s">
        <v>3857</v>
      </c>
      <c r="L45" s="167" t="s">
        <v>3716</v>
      </c>
      <c r="M45" s="113"/>
      <c r="N45" s="167" t="s">
        <v>23</v>
      </c>
    </row>
    <row r="46">
      <c r="A46" s="170">
        <v>10333.0</v>
      </c>
      <c r="B46" s="168" t="s">
        <v>3858</v>
      </c>
      <c r="C46" s="167" t="str">
        <f>IFERROR(__xludf.DUMMYFUNCTION("googletranslate(B46)"),"First Low Emissions Technology Statement - 2020")</f>
        <v>First Low Emissions Technology Statement - 2020</v>
      </c>
      <c r="D46" s="167" t="s">
        <v>3829</v>
      </c>
      <c r="E46" s="167" t="s">
        <v>3830</v>
      </c>
      <c r="F46" s="188" t="s">
        <v>903</v>
      </c>
      <c r="G46" s="170"/>
      <c r="H46" s="170">
        <v>2020.0</v>
      </c>
      <c r="I46" s="167" t="s">
        <v>24</v>
      </c>
      <c r="J46" s="167" t="s">
        <v>3859</v>
      </c>
      <c r="K46" s="171" t="s">
        <v>3860</v>
      </c>
      <c r="L46" s="167" t="s">
        <v>3716</v>
      </c>
      <c r="M46" s="113"/>
      <c r="N46" s="167" t="s">
        <v>23</v>
      </c>
    </row>
    <row r="47">
      <c r="A47" s="170">
        <v>1042.0</v>
      </c>
      <c r="B47" s="168" t="s">
        <v>3861</v>
      </c>
      <c r="C47" s="167" t="str">
        <f>IFERROR(__xludf.DUMMYFUNCTION("googletranslate(B47)"),"Federal law consolidated: entire legal regulation for the climate protection law")</f>
        <v>Federal law consolidated: entire legal regulation for the climate protection law</v>
      </c>
      <c r="D47" s="167" t="s">
        <v>3862</v>
      </c>
      <c r="E47" s="167" t="s">
        <v>3863</v>
      </c>
      <c r="F47" s="167" t="s">
        <v>45</v>
      </c>
      <c r="G47" s="185"/>
      <c r="H47" s="185">
        <v>2011.0</v>
      </c>
      <c r="I47" s="167" t="s">
        <v>1470</v>
      </c>
      <c r="J47" s="171" t="s">
        <v>3864</v>
      </c>
      <c r="K47" s="171" t="s">
        <v>3865</v>
      </c>
      <c r="L47" s="167" t="s">
        <v>3716</v>
      </c>
      <c r="M47" s="113"/>
      <c r="N47" s="167" t="s">
        <v>92</v>
      </c>
    </row>
    <row r="48">
      <c r="A48" s="170">
        <v>1042.0</v>
      </c>
      <c r="B48" s="189" t="s">
        <v>3866</v>
      </c>
      <c r="C48" s="167" t="str">
        <f>IFERROR(__xludf.DUMMYFUNCTION("googletranslate(B48)"),"Federal Act: Administrative Reform Act BMLFUW")</f>
        <v>Federal Act: Administrative Reform Act BMLFUW</v>
      </c>
      <c r="D48" s="167" t="s">
        <v>3862</v>
      </c>
      <c r="E48" s="167" t="s">
        <v>3863</v>
      </c>
      <c r="F48" s="167" t="s">
        <v>45</v>
      </c>
      <c r="G48" s="170"/>
      <c r="H48" s="170">
        <v>2017.0</v>
      </c>
      <c r="I48" s="167" t="s">
        <v>1470</v>
      </c>
      <c r="J48" s="167" t="s">
        <v>3867</v>
      </c>
      <c r="K48" s="171" t="s">
        <v>3868</v>
      </c>
      <c r="L48" s="167" t="s">
        <v>3716</v>
      </c>
      <c r="M48" s="113"/>
      <c r="N48" s="167" t="s">
        <v>229</v>
      </c>
    </row>
    <row r="49">
      <c r="A49" s="170">
        <v>9493.0</v>
      </c>
      <c r="B49" s="167" t="s">
        <v>3869</v>
      </c>
      <c r="C49" s="167" t="str">
        <f>IFERROR(__xludf.DUMMYFUNCTION("googletranslate(B49)"),"Integrated National Energy and Climate Plan for Austria")</f>
        <v>Integrated National Energy and Climate Plan for Austria</v>
      </c>
      <c r="D49" s="167" t="s">
        <v>3862</v>
      </c>
      <c r="E49" s="167" t="s">
        <v>3863</v>
      </c>
      <c r="F49" s="167" t="s">
        <v>234</v>
      </c>
      <c r="G49" s="170"/>
      <c r="H49" s="170">
        <v>2019.0</v>
      </c>
      <c r="I49" s="167" t="s">
        <v>24</v>
      </c>
      <c r="J49" s="167" t="s">
        <v>3870</v>
      </c>
      <c r="K49" s="171" t="s">
        <v>3871</v>
      </c>
      <c r="L49" s="167" t="s">
        <v>3716</v>
      </c>
      <c r="M49" s="113"/>
      <c r="N49" s="167" t="s">
        <v>23</v>
      </c>
    </row>
    <row r="50">
      <c r="A50" s="170">
        <v>9493.0</v>
      </c>
      <c r="B50" s="167" t="s">
        <v>3872</v>
      </c>
      <c r="C50" s="172" t="s">
        <v>3869</v>
      </c>
      <c r="D50" s="167" t="s">
        <v>3862</v>
      </c>
      <c r="E50" s="167" t="s">
        <v>3863</v>
      </c>
      <c r="F50" s="167" t="s">
        <v>234</v>
      </c>
      <c r="G50" s="170"/>
      <c r="H50" s="170">
        <v>2019.0</v>
      </c>
      <c r="I50" s="167" t="s">
        <v>1470</v>
      </c>
      <c r="J50" s="167" t="s">
        <v>3873</v>
      </c>
      <c r="K50" s="171" t="s">
        <v>3874</v>
      </c>
      <c r="L50" s="167" t="s">
        <v>3716</v>
      </c>
      <c r="M50" s="113"/>
      <c r="N50" s="167" t="s">
        <v>23</v>
      </c>
    </row>
    <row r="51">
      <c r="A51" s="170">
        <v>9522.0</v>
      </c>
      <c r="B51" s="167" t="s">
        <v>3875</v>
      </c>
      <c r="C51" s="167" t="str">
        <f>IFERROR(__xludf.DUMMYFUNCTION("googletranslate(B51)"),"Tax Reform Act 2020")</f>
        <v>Tax Reform Act 2020</v>
      </c>
      <c r="D51" s="167" t="s">
        <v>3862</v>
      </c>
      <c r="E51" s="167" t="s">
        <v>3863</v>
      </c>
      <c r="F51" s="167" t="s">
        <v>45</v>
      </c>
      <c r="G51" s="170"/>
      <c r="H51" s="170">
        <v>2020.0</v>
      </c>
      <c r="I51" s="167" t="s">
        <v>1470</v>
      </c>
      <c r="J51" s="167" t="s">
        <v>3876</v>
      </c>
      <c r="K51" s="171" t="s">
        <v>3877</v>
      </c>
      <c r="L51" s="167" t="s">
        <v>3716</v>
      </c>
      <c r="M51" s="113"/>
      <c r="N51" s="167" t="s">
        <v>275</v>
      </c>
    </row>
    <row r="52">
      <c r="A52" s="173">
        <v>9522.0</v>
      </c>
      <c r="B52" s="174"/>
      <c r="C52" s="175" t="str">
        <f>IFERROR(__xludf.DUMMYFUNCTION("googletranslate(B52)"),"#VALUE!")</f>
        <v>#VALUE!</v>
      </c>
      <c r="D52" s="176" t="s">
        <v>3862</v>
      </c>
      <c r="E52" s="176" t="s">
        <v>3863</v>
      </c>
      <c r="F52" s="174"/>
      <c r="G52" s="174"/>
      <c r="H52" s="174"/>
      <c r="I52" s="176" t="s">
        <v>1470</v>
      </c>
      <c r="J52" s="176" t="s">
        <v>3878</v>
      </c>
      <c r="K52" s="177" t="s">
        <v>3879</v>
      </c>
      <c r="L52" s="176" t="s">
        <v>3716</v>
      </c>
      <c r="M52" s="174"/>
      <c r="N52" s="176" t="s">
        <v>23</v>
      </c>
    </row>
    <row r="53">
      <c r="A53" s="170">
        <v>9522.0</v>
      </c>
      <c r="B53" s="167" t="s">
        <v>3880</v>
      </c>
      <c r="C53" s="167" t="str">
        <f>IFERROR(__xludf.DUMMYFUNCTION("googletranslate(B53)"),"Ecosocial Tax Reform Act 2022 Part I")</f>
        <v>Ecosocial Tax Reform Act 2022 Part I</v>
      </c>
      <c r="D53" s="167" t="s">
        <v>3862</v>
      </c>
      <c r="E53" s="167" t="s">
        <v>3863</v>
      </c>
      <c r="F53" s="167" t="s">
        <v>45</v>
      </c>
      <c r="G53" s="170"/>
      <c r="H53" s="170">
        <v>2022.0</v>
      </c>
      <c r="I53" s="167" t="s">
        <v>1470</v>
      </c>
      <c r="J53" s="167" t="s">
        <v>3881</v>
      </c>
      <c r="K53" s="171" t="s">
        <v>3882</v>
      </c>
      <c r="L53" s="167" t="s">
        <v>3716</v>
      </c>
      <c r="M53" s="113"/>
      <c r="N53" s="167" t="s">
        <v>275</v>
      </c>
    </row>
    <row r="54">
      <c r="A54" s="173">
        <v>10490.0</v>
      </c>
      <c r="B54" s="176" t="s">
        <v>3883</v>
      </c>
      <c r="C54" s="176" t="str">
        <f>IFERROR(__xludf.DUMMYFUNCTION("googletranslate(B54)"),"The EU development plan: Economic comeback with a green and digital focus")</f>
        <v>The EU development plan: Economic comeback with a green and digital focus</v>
      </c>
      <c r="D54" s="176" t="s">
        <v>3862</v>
      </c>
      <c r="E54" s="176" t="s">
        <v>3863</v>
      </c>
      <c r="F54" s="176" t="s">
        <v>234</v>
      </c>
      <c r="G54" s="174"/>
      <c r="H54" s="174"/>
      <c r="I54" s="176" t="s">
        <v>1470</v>
      </c>
      <c r="J54" s="176" t="s">
        <v>3884</v>
      </c>
      <c r="K54" s="177" t="s">
        <v>3885</v>
      </c>
      <c r="L54" s="176" t="s">
        <v>3716</v>
      </c>
      <c r="M54" s="174"/>
      <c r="N54" s="176" t="s">
        <v>229</v>
      </c>
    </row>
    <row r="55">
      <c r="A55" s="170">
        <v>10490.0</v>
      </c>
      <c r="B55" s="167" t="s">
        <v>3886</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3862</v>
      </c>
      <c r="E55" s="167" t="s">
        <v>3863</v>
      </c>
      <c r="F55" s="167" t="s">
        <v>272</v>
      </c>
      <c r="G55" s="170"/>
      <c r="H55" s="170">
        <v>2021.0</v>
      </c>
      <c r="I55" s="167" t="s">
        <v>24</v>
      </c>
      <c r="J55" s="167" t="s">
        <v>3887</v>
      </c>
      <c r="K55" s="171" t="s">
        <v>3888</v>
      </c>
      <c r="L55" s="167" t="s">
        <v>3716</v>
      </c>
      <c r="M55" s="113"/>
      <c r="N55" s="167" t="s">
        <v>23</v>
      </c>
    </row>
    <row r="56">
      <c r="A56" s="170">
        <v>10490.0</v>
      </c>
      <c r="B56" s="167" t="s">
        <v>3889</v>
      </c>
      <c r="C56" s="79" t="s">
        <v>3890</v>
      </c>
      <c r="D56" s="167" t="s">
        <v>3862</v>
      </c>
      <c r="E56" s="167" t="s">
        <v>3863</v>
      </c>
      <c r="F56" s="167" t="s">
        <v>234</v>
      </c>
      <c r="G56" s="170"/>
      <c r="H56" s="170">
        <v>2021.0</v>
      </c>
      <c r="I56" s="167" t="s">
        <v>1470</v>
      </c>
      <c r="J56" s="167" t="s">
        <v>3891</v>
      </c>
      <c r="K56" s="171" t="s">
        <v>3892</v>
      </c>
      <c r="L56" s="167" t="s">
        <v>3716</v>
      </c>
      <c r="M56" s="113"/>
      <c r="N56" s="167" t="s">
        <v>23</v>
      </c>
    </row>
    <row r="57">
      <c r="A57" s="170">
        <v>10490.0</v>
      </c>
      <c r="B57" s="167" t="s">
        <v>3893</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3862</v>
      </c>
      <c r="E57" s="167" t="s">
        <v>3863</v>
      </c>
      <c r="F57" s="169" t="s">
        <v>272</v>
      </c>
      <c r="G57" s="170"/>
      <c r="H57" s="170">
        <v>2021.0</v>
      </c>
      <c r="I57" s="167" t="s">
        <v>24</v>
      </c>
      <c r="J57" s="167" t="s">
        <v>3894</v>
      </c>
      <c r="K57" s="171" t="s">
        <v>3895</v>
      </c>
      <c r="L57" s="167" t="s">
        <v>3716</v>
      </c>
      <c r="M57" s="113"/>
      <c r="N57" s="167" t="s">
        <v>23</v>
      </c>
    </row>
    <row r="58">
      <c r="A58" s="170">
        <v>10469.0</v>
      </c>
      <c r="B58" s="190" t="s">
        <v>3896</v>
      </c>
      <c r="C58" s="167" t="str">
        <f>IFERROR(__xludf.DUMMYFUNCTION("googletranslate(B58)"),"Resolution No. (51) of 2007 to establish the Joint Climate Change Committee")</f>
        <v>Resolution No. (51) of 2007 to establish the Joint Climate Change Committee</v>
      </c>
      <c r="D58" s="167" t="s">
        <v>3897</v>
      </c>
      <c r="E58" s="167" t="s">
        <v>3898</v>
      </c>
      <c r="F58" s="167" t="s">
        <v>137</v>
      </c>
      <c r="G58" s="170"/>
      <c r="H58" s="170">
        <v>2007.0</v>
      </c>
      <c r="I58" s="167" t="s">
        <v>335</v>
      </c>
      <c r="J58" s="167" t="s">
        <v>3899</v>
      </c>
      <c r="K58" s="171" t="s">
        <v>3900</v>
      </c>
      <c r="L58" s="167" t="s">
        <v>3716</v>
      </c>
      <c r="M58" s="113"/>
      <c r="N58" s="167" t="s">
        <v>23</v>
      </c>
    </row>
    <row r="59">
      <c r="A59" s="170">
        <v>10469.0</v>
      </c>
      <c r="B59" s="178" t="s">
        <v>3901</v>
      </c>
      <c r="C59" s="167" t="str">
        <f>IFERROR(__xludf.DUMMYFUNCTION("googletranslate(B59)"),"Resolution No. (57) for the year 2015")</f>
        <v>Resolution No. (57) for the year 2015</v>
      </c>
      <c r="D59" s="167" t="s">
        <v>3897</v>
      </c>
      <c r="E59" s="167" t="s">
        <v>3898</v>
      </c>
      <c r="F59" s="167" t="s">
        <v>137</v>
      </c>
      <c r="G59" s="170"/>
      <c r="H59" s="170">
        <v>2015.0</v>
      </c>
      <c r="I59" s="167" t="s">
        <v>335</v>
      </c>
      <c r="J59" s="167" t="s">
        <v>3902</v>
      </c>
      <c r="K59" s="171" t="s">
        <v>3903</v>
      </c>
      <c r="L59" s="167" t="s">
        <v>3716</v>
      </c>
      <c r="M59" s="113"/>
      <c r="N59" s="167" t="s">
        <v>23</v>
      </c>
    </row>
    <row r="60">
      <c r="A60" s="170">
        <v>1059.0</v>
      </c>
      <c r="B60" s="167" t="s">
        <v>3904</v>
      </c>
      <c r="C60" s="167" t="str">
        <f>IFERROR(__xludf.DUMMYFUNCTION("googletranslate(B60)"),"Act No 13 of 2003")</f>
        <v>Act No 13 of 2003</v>
      </c>
      <c r="D60" s="167" t="s">
        <v>3905</v>
      </c>
      <c r="E60" s="167" t="s">
        <v>3906</v>
      </c>
      <c r="F60" s="167" t="s">
        <v>45</v>
      </c>
      <c r="G60" s="170"/>
      <c r="H60" s="170">
        <v>2003.0</v>
      </c>
      <c r="I60" s="167" t="s">
        <v>24</v>
      </c>
      <c r="J60" s="167" t="s">
        <v>3907</v>
      </c>
      <c r="K60" s="171" t="s">
        <v>3908</v>
      </c>
      <c r="L60" s="167" t="s">
        <v>3716</v>
      </c>
      <c r="M60" s="113"/>
      <c r="N60" s="167" t="s">
        <v>23</v>
      </c>
    </row>
    <row r="61">
      <c r="A61" s="173">
        <v>1059.0</v>
      </c>
      <c r="B61" s="174"/>
      <c r="C61" s="175" t="str">
        <f>IFERROR(__xludf.DUMMYFUNCTION("googletranslate(B61)"),"#VALUE!")</f>
        <v>#VALUE!</v>
      </c>
      <c r="D61" s="176" t="s">
        <v>3905</v>
      </c>
      <c r="E61" s="176" t="s">
        <v>3906</v>
      </c>
      <c r="F61" s="174"/>
      <c r="G61" s="174"/>
      <c r="H61" s="174"/>
      <c r="I61" s="176" t="s">
        <v>3909</v>
      </c>
      <c r="J61" s="176" t="s">
        <v>3910</v>
      </c>
      <c r="K61" s="177" t="s">
        <v>3911</v>
      </c>
      <c r="L61" s="176" t="s">
        <v>3716</v>
      </c>
      <c r="M61" s="174"/>
      <c r="N61" s="176" t="s">
        <v>23</v>
      </c>
    </row>
    <row r="62">
      <c r="A62" s="170">
        <v>8488.0</v>
      </c>
      <c r="B62" s="168" t="s">
        <v>3912</v>
      </c>
      <c r="C62" s="167" t="str">
        <f>IFERROR(__xludf.DUMMYFUNCTION("googletranslate(B62)"),"Electric Light and Power Act, 2013-2021")</f>
        <v>Electric Light and Power Act, 2013-2021</v>
      </c>
      <c r="D62" s="167" t="s">
        <v>3913</v>
      </c>
      <c r="E62" s="167" t="s">
        <v>3914</v>
      </c>
      <c r="F62" s="167" t="s">
        <v>45</v>
      </c>
      <c r="G62" s="170"/>
      <c r="H62" s="170">
        <v>2014.0</v>
      </c>
      <c r="I62" s="167" t="s">
        <v>24</v>
      </c>
      <c r="J62" s="167" t="s">
        <v>3915</v>
      </c>
      <c r="K62" s="171" t="s">
        <v>3916</v>
      </c>
      <c r="L62" s="167" t="s">
        <v>3716</v>
      </c>
      <c r="M62" s="113"/>
      <c r="N62" s="167" t="s">
        <v>37</v>
      </c>
    </row>
    <row r="63">
      <c r="A63" s="170">
        <v>8488.0</v>
      </c>
      <c r="B63" s="168" t="s">
        <v>3917</v>
      </c>
      <c r="C63" s="167" t="str">
        <f>IFERROR(__xludf.DUMMYFUNCTION("googletranslate(B63)"),"Electric Light and Power (Amendment) Act, 2015-17")</f>
        <v>Electric Light and Power (Amendment) Act, 2015-17</v>
      </c>
      <c r="D63" s="167" t="s">
        <v>3913</v>
      </c>
      <c r="E63" s="167" t="s">
        <v>3914</v>
      </c>
      <c r="F63" s="167" t="s">
        <v>45</v>
      </c>
      <c r="G63" s="170"/>
      <c r="H63" s="170">
        <v>2015.0</v>
      </c>
      <c r="I63" s="167" t="s">
        <v>24</v>
      </c>
      <c r="J63" s="167" t="s">
        <v>3918</v>
      </c>
      <c r="K63" s="171" t="s">
        <v>3919</v>
      </c>
      <c r="L63" s="167" t="s">
        <v>3716</v>
      </c>
      <c r="M63" s="113"/>
      <c r="N63" s="167" t="s">
        <v>37</v>
      </c>
    </row>
    <row r="64">
      <c r="A64" s="173">
        <v>1060.0</v>
      </c>
      <c r="B64" s="174"/>
      <c r="C64" s="175" t="str">
        <f>IFERROR(__xludf.DUMMYFUNCTION("googletranslate(B64)"),"#VALUE!")</f>
        <v>#VALUE!</v>
      </c>
      <c r="D64" s="176" t="s">
        <v>3920</v>
      </c>
      <c r="E64" s="176" t="s">
        <v>3921</v>
      </c>
      <c r="F64" s="176" t="s">
        <v>137</v>
      </c>
      <c r="G64" s="173"/>
      <c r="H64" s="173">
        <v>2013.0</v>
      </c>
      <c r="I64" s="176" t="s">
        <v>3922</v>
      </c>
      <c r="J64" s="176" t="s">
        <v>3923</v>
      </c>
      <c r="K64" s="177" t="s">
        <v>3924</v>
      </c>
      <c r="L64" s="176" t="s">
        <v>3716</v>
      </c>
      <c r="M64" s="176" t="s">
        <v>347</v>
      </c>
      <c r="N64" s="176" t="s">
        <v>23</v>
      </c>
    </row>
    <row r="65">
      <c r="A65" s="173">
        <v>1060.0</v>
      </c>
      <c r="B65" s="174"/>
      <c r="C65" s="175" t="str">
        <f>IFERROR(__xludf.DUMMYFUNCTION("googletranslate(B65)"),"#VALUE!")</f>
        <v>#VALUE!</v>
      </c>
      <c r="D65" s="176" t="s">
        <v>3920</v>
      </c>
      <c r="E65" s="176" t="s">
        <v>3921</v>
      </c>
      <c r="F65" s="176" t="s">
        <v>18</v>
      </c>
      <c r="G65" s="173"/>
      <c r="H65" s="173">
        <v>2013.0</v>
      </c>
      <c r="I65" s="176" t="s">
        <v>347</v>
      </c>
      <c r="J65" s="176" t="s">
        <v>3925</v>
      </c>
      <c r="K65" s="177" t="s">
        <v>3926</v>
      </c>
      <c r="L65" s="176" t="s">
        <v>3716</v>
      </c>
      <c r="M65" s="174"/>
      <c r="N65" s="176" t="s">
        <v>23</v>
      </c>
    </row>
    <row r="66">
      <c r="A66" s="170">
        <v>1073.0</v>
      </c>
      <c r="B66" s="167" t="s">
        <v>3927</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3928</v>
      </c>
      <c r="E66" s="167" t="s">
        <v>3929</v>
      </c>
      <c r="F66" s="167" t="s">
        <v>41</v>
      </c>
      <c r="G66" s="170"/>
      <c r="H66" s="170">
        <v>2013.0</v>
      </c>
      <c r="I66" s="167" t="s">
        <v>811</v>
      </c>
      <c r="J66" s="167" t="s">
        <v>3930</v>
      </c>
      <c r="K66" s="171" t="s">
        <v>3931</v>
      </c>
      <c r="L66" s="167" t="s">
        <v>3716</v>
      </c>
      <c r="M66" s="167" t="s">
        <v>3152</v>
      </c>
      <c r="N66" s="167" t="s">
        <v>23</v>
      </c>
    </row>
    <row r="67">
      <c r="A67" s="170">
        <v>1073.0</v>
      </c>
      <c r="B67" s="167" t="s">
        <v>3932</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3928</v>
      </c>
      <c r="E67" s="167" t="s">
        <v>3929</v>
      </c>
      <c r="F67" s="167" t="s">
        <v>41</v>
      </c>
      <c r="G67" s="170"/>
      <c r="H67" s="170">
        <v>2015.0</v>
      </c>
      <c r="I67" s="167" t="s">
        <v>811</v>
      </c>
      <c r="J67" s="167" t="s">
        <v>3933</v>
      </c>
      <c r="K67" s="171" t="s">
        <v>3934</v>
      </c>
      <c r="L67" s="167" t="s">
        <v>3716</v>
      </c>
      <c r="M67" s="113"/>
      <c r="N67" s="167" t="s">
        <v>23</v>
      </c>
    </row>
    <row r="68">
      <c r="A68" s="170">
        <v>1079.0</v>
      </c>
      <c r="B68" s="167" t="s">
        <v>3935</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3928</v>
      </c>
      <c r="E68" s="167" t="s">
        <v>3929</v>
      </c>
      <c r="F68" s="167" t="s">
        <v>41</v>
      </c>
      <c r="G68" s="170"/>
      <c r="H68" s="170">
        <v>2017.0</v>
      </c>
      <c r="I68" s="167" t="s">
        <v>811</v>
      </c>
      <c r="J68" s="167" t="s">
        <v>3936</v>
      </c>
      <c r="K68" s="171" t="s">
        <v>3937</v>
      </c>
      <c r="L68" s="167" t="s">
        <v>3716</v>
      </c>
      <c r="M68" s="167" t="s">
        <v>3152</v>
      </c>
      <c r="N68" s="167" t="s">
        <v>23</v>
      </c>
    </row>
    <row r="69">
      <c r="A69" s="170">
        <v>1079.0</v>
      </c>
      <c r="B69" s="167" t="s">
        <v>3938</v>
      </c>
      <c r="C69" s="167" t="str">
        <f>IFERROR(__xludf.DUMMYFUNCTION("googletranslate(B69)"),"Law relating to the organization of the electricity market")</f>
        <v>Law relating to the organization of the electricity market</v>
      </c>
      <c r="D69" s="167" t="s">
        <v>3928</v>
      </c>
      <c r="E69" s="167" t="s">
        <v>3929</v>
      </c>
      <c r="F69" s="167" t="s">
        <v>41</v>
      </c>
      <c r="G69" s="170"/>
      <c r="H69" s="170">
        <v>1999.0</v>
      </c>
      <c r="I69" s="167" t="s">
        <v>811</v>
      </c>
      <c r="J69" s="167" t="s">
        <v>3939</v>
      </c>
      <c r="K69" s="171" t="s">
        <v>3940</v>
      </c>
      <c r="L69" s="167" t="s">
        <v>3716</v>
      </c>
      <c r="M69" s="167" t="s">
        <v>3152</v>
      </c>
      <c r="N69" s="167" t="s">
        <v>23</v>
      </c>
    </row>
    <row r="70">
      <c r="A70" s="170">
        <v>1079.0</v>
      </c>
      <c r="B70" s="167" t="s">
        <v>3941</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3928</v>
      </c>
      <c r="E70" s="167" t="s">
        <v>3929</v>
      </c>
      <c r="F70" s="167" t="s">
        <v>41</v>
      </c>
      <c r="G70" s="170"/>
      <c r="H70" s="170">
        <v>2019.0</v>
      </c>
      <c r="I70" s="167" t="s">
        <v>811</v>
      </c>
      <c r="J70" s="171" t="s">
        <v>3942</v>
      </c>
      <c r="K70" s="171" t="s">
        <v>3943</v>
      </c>
      <c r="L70" s="167" t="s">
        <v>3716</v>
      </c>
      <c r="M70" s="113"/>
      <c r="N70" s="167" t="s">
        <v>275</v>
      </c>
    </row>
    <row r="71">
      <c r="A71" s="170">
        <v>1080.0</v>
      </c>
      <c r="B71" s="167" t="s">
        <v>3944</v>
      </c>
      <c r="C71" s="167" t="str">
        <f>IFERROR(__xludf.DUMMYFUNCTION("googletranslate(B71)"),"Law relating to the coordination of the federal sustainable development policy")</f>
        <v>Law relating to the coordination of the federal sustainable development policy</v>
      </c>
      <c r="D71" s="167" t="s">
        <v>3928</v>
      </c>
      <c r="E71" s="167" t="s">
        <v>3929</v>
      </c>
      <c r="F71" s="167" t="s">
        <v>41</v>
      </c>
      <c r="G71" s="170"/>
      <c r="H71" s="170">
        <v>1997.0</v>
      </c>
      <c r="I71" s="167" t="s">
        <v>811</v>
      </c>
      <c r="J71" s="171" t="s">
        <v>3945</v>
      </c>
      <c r="K71" s="171" t="s">
        <v>3946</v>
      </c>
      <c r="L71" s="167" t="s">
        <v>3716</v>
      </c>
      <c r="M71" s="113"/>
      <c r="N71" s="167" t="s">
        <v>275</v>
      </c>
    </row>
    <row r="72">
      <c r="A72" s="170">
        <v>1080.0</v>
      </c>
      <c r="B72" s="168" t="s">
        <v>3947</v>
      </c>
      <c r="C72" s="167" t="str">
        <f>IFERROR(__xludf.DUMMYFUNCTION("googletranslate(B72)"),"The Federal Sustainable Development Plan")</f>
        <v>The Federal Sustainable Development Plan</v>
      </c>
      <c r="D72" s="167" t="s">
        <v>3928</v>
      </c>
      <c r="E72" s="167" t="s">
        <v>3929</v>
      </c>
      <c r="F72" s="167" t="s">
        <v>234</v>
      </c>
      <c r="G72" s="169"/>
      <c r="H72" s="169">
        <v>2000.0</v>
      </c>
      <c r="I72" s="167" t="s">
        <v>811</v>
      </c>
      <c r="J72" s="167" t="s">
        <v>3948</v>
      </c>
      <c r="K72" s="171" t="s">
        <v>3949</v>
      </c>
      <c r="L72" s="167" t="s">
        <v>3716</v>
      </c>
      <c r="M72" s="113"/>
      <c r="N72" s="167" t="s">
        <v>92</v>
      </c>
    </row>
    <row r="73">
      <c r="A73" s="170">
        <v>9494.0</v>
      </c>
      <c r="B73" s="167" t="s">
        <v>3950</v>
      </c>
      <c r="C73" s="167" t="str">
        <f>IFERROR(__xludf.DUMMYFUNCTION("googletranslate(B73)"),"National energy -climate plan: Part A - National Plan")</f>
        <v>National energy -climate plan: Part A - National Plan</v>
      </c>
      <c r="D73" s="167" t="s">
        <v>3928</v>
      </c>
      <c r="E73" s="167" t="s">
        <v>3929</v>
      </c>
      <c r="F73" s="167" t="s">
        <v>234</v>
      </c>
      <c r="G73" s="170"/>
      <c r="H73" s="170">
        <v>2019.0</v>
      </c>
      <c r="I73" s="167" t="s">
        <v>811</v>
      </c>
      <c r="J73" s="167" t="s">
        <v>3951</v>
      </c>
      <c r="K73" s="171" t="s">
        <v>3952</v>
      </c>
      <c r="L73" s="167" t="s">
        <v>3716</v>
      </c>
      <c r="M73" s="113"/>
      <c r="N73" s="167" t="s">
        <v>23</v>
      </c>
    </row>
    <row r="74">
      <c r="A74" s="170">
        <v>9494.0</v>
      </c>
      <c r="B74" s="168" t="s">
        <v>3953</v>
      </c>
      <c r="C74" s="167" t="str">
        <f>IFERROR(__xludf.DUMMYFUNCTION("googletranslate(B74)"),"National energy -climate plan: part B - Analytical base")</f>
        <v>National energy -climate plan: part B - Analytical base</v>
      </c>
      <c r="D74" s="167" t="s">
        <v>3928</v>
      </c>
      <c r="E74" s="167" t="s">
        <v>3929</v>
      </c>
      <c r="F74" s="167" t="s">
        <v>234</v>
      </c>
      <c r="G74" s="170"/>
      <c r="H74" s="170">
        <v>2019.0</v>
      </c>
      <c r="I74" s="167" t="s">
        <v>811</v>
      </c>
      <c r="J74" s="167" t="s">
        <v>3954</v>
      </c>
      <c r="K74" s="171" t="s">
        <v>3955</v>
      </c>
      <c r="L74" s="167" t="s">
        <v>3716</v>
      </c>
      <c r="M74" s="113"/>
      <c r="N74" s="167" t="s">
        <v>23</v>
      </c>
    </row>
    <row r="75">
      <c r="A75" s="170">
        <v>9494.0</v>
      </c>
      <c r="B75" s="167" t="s">
        <v>3956</v>
      </c>
      <c r="C75" s="167" t="str">
        <f>IFERROR(__xludf.DUMMYFUNCTION("googletranslate(B75)"),"National Energy and Climate Plan: Part A - National Plan")</f>
        <v>National Energy and Climate Plan: Part A - National Plan</v>
      </c>
      <c r="D75" s="167" t="s">
        <v>3928</v>
      </c>
      <c r="E75" s="167" t="s">
        <v>3929</v>
      </c>
      <c r="F75" s="167" t="s">
        <v>234</v>
      </c>
      <c r="G75" s="170"/>
      <c r="H75" s="170">
        <v>2019.0</v>
      </c>
      <c r="I75" s="167" t="s">
        <v>3152</v>
      </c>
      <c r="J75" s="167" t="s">
        <v>3957</v>
      </c>
      <c r="K75" s="171" t="s">
        <v>3958</v>
      </c>
      <c r="L75" s="167" t="s">
        <v>3716</v>
      </c>
      <c r="M75" s="113"/>
      <c r="N75" s="167" t="s">
        <v>23</v>
      </c>
    </row>
    <row r="76">
      <c r="A76" s="170">
        <v>9494.0</v>
      </c>
      <c r="B76" s="168" t="s">
        <v>3959</v>
      </c>
      <c r="C76" s="167" t="str">
        <f>IFERROR(__xludf.DUMMYFUNCTION("googletranslate(B76)"),"National Energy and Climate Plan: Part B - Analytical basis")</f>
        <v>National Energy and Climate Plan: Part B - Analytical basis</v>
      </c>
      <c r="D76" s="167" t="s">
        <v>3928</v>
      </c>
      <c r="E76" s="167" t="s">
        <v>3929</v>
      </c>
      <c r="F76" s="167" t="s">
        <v>234</v>
      </c>
      <c r="G76" s="170"/>
      <c r="H76" s="170">
        <v>2019.0</v>
      </c>
      <c r="I76" s="167" t="s">
        <v>3152</v>
      </c>
      <c r="J76" s="167" t="s">
        <v>3960</v>
      </c>
      <c r="K76" s="171" t="s">
        <v>3961</v>
      </c>
      <c r="L76" s="167" t="s">
        <v>3716</v>
      </c>
      <c r="M76" s="113"/>
      <c r="N76" s="167" t="s">
        <v>23</v>
      </c>
    </row>
    <row r="77">
      <c r="A77" s="170">
        <v>10491.0</v>
      </c>
      <c r="B77" s="168" t="s">
        <v>3962</v>
      </c>
      <c r="C77" s="167" t="str">
        <f>IFERROR(__xludf.DUMMYFUNCTION("googletranslate(B77)"),"Belgium’s recovery and resilience plan")</f>
        <v>Belgium’s recovery and resilience plan</v>
      </c>
      <c r="D77" s="167" t="s">
        <v>3928</v>
      </c>
      <c r="E77" s="167" t="s">
        <v>3929</v>
      </c>
      <c r="F77" s="167" t="s">
        <v>234</v>
      </c>
      <c r="G77" s="185"/>
      <c r="H77" s="185">
        <v>2021.0</v>
      </c>
      <c r="I77" s="167" t="s">
        <v>24</v>
      </c>
      <c r="J77" s="171" t="s">
        <v>3963</v>
      </c>
      <c r="K77" s="171" t="s">
        <v>3964</v>
      </c>
      <c r="L77" s="167" t="s">
        <v>3716</v>
      </c>
      <c r="M77" s="113"/>
      <c r="N77" s="167" t="s">
        <v>92</v>
      </c>
    </row>
    <row r="78">
      <c r="A78" s="173">
        <v>10491.0</v>
      </c>
      <c r="B78" s="174"/>
      <c r="C78" s="175" t="str">
        <f>IFERROR(__xludf.DUMMYFUNCTION("googletranslate(B78)"),"#VALUE!")</f>
        <v>#VALUE!</v>
      </c>
      <c r="D78" s="176" t="s">
        <v>3928</v>
      </c>
      <c r="E78" s="176" t="s">
        <v>3929</v>
      </c>
      <c r="F78" s="174"/>
      <c r="G78" s="174"/>
      <c r="H78" s="174"/>
      <c r="I78" s="174"/>
      <c r="J78" s="177" t="s">
        <v>3965</v>
      </c>
      <c r="K78" s="177" t="s">
        <v>3966</v>
      </c>
      <c r="L78" s="176" t="s">
        <v>3716</v>
      </c>
      <c r="M78" s="174"/>
      <c r="N78" s="176" t="s">
        <v>92</v>
      </c>
    </row>
    <row r="79">
      <c r="A79" s="170">
        <v>10491.0</v>
      </c>
      <c r="B79" s="167" t="s">
        <v>3967</v>
      </c>
      <c r="C79" s="167" t="str">
        <f>IFERROR(__xludf.DUMMYFUNCTION("googletranslate(B79)"),"National plan for recovery and resilience")</f>
        <v>National plan for recovery and resilience</v>
      </c>
      <c r="D79" s="167" t="s">
        <v>3928</v>
      </c>
      <c r="E79" s="167" t="s">
        <v>3929</v>
      </c>
      <c r="F79" s="167" t="s">
        <v>234</v>
      </c>
      <c r="G79" s="170"/>
      <c r="H79" s="170">
        <v>2021.0</v>
      </c>
      <c r="I79" s="167" t="s">
        <v>3152</v>
      </c>
      <c r="J79" s="167" t="s">
        <v>3968</v>
      </c>
      <c r="K79" s="171" t="s">
        <v>3969</v>
      </c>
      <c r="L79" s="167" t="s">
        <v>3716</v>
      </c>
      <c r="M79" s="113"/>
      <c r="N79" s="167" t="s">
        <v>23</v>
      </c>
    </row>
    <row r="80">
      <c r="A80" s="170">
        <v>10491.0</v>
      </c>
      <c r="B80" s="167" t="s">
        <v>3970</v>
      </c>
      <c r="C80" s="167" t="str">
        <f>IFERROR(__xludf.DUMMYFUNCTION("googletranslate(B80)"),"National plan for recovery and resilience")</f>
        <v>National plan for recovery and resilience</v>
      </c>
      <c r="D80" s="167" t="s">
        <v>3928</v>
      </c>
      <c r="E80" s="167" t="s">
        <v>3929</v>
      </c>
      <c r="F80" s="167" t="s">
        <v>234</v>
      </c>
      <c r="G80" s="170"/>
      <c r="H80" s="170">
        <v>2021.0</v>
      </c>
      <c r="I80" s="167" t="s">
        <v>811</v>
      </c>
      <c r="J80" s="167" t="s">
        <v>3971</v>
      </c>
      <c r="K80" s="171" t="s">
        <v>3972</v>
      </c>
      <c r="L80" s="167" t="s">
        <v>3716</v>
      </c>
      <c r="M80" s="113"/>
      <c r="N80" s="167" t="s">
        <v>23</v>
      </c>
    </row>
    <row r="81">
      <c r="A81" s="170">
        <v>9118.0</v>
      </c>
      <c r="B81" s="168" t="s">
        <v>3973</v>
      </c>
      <c r="C81" s="167" t="str">
        <f>IFERROR(__xludf.DUMMYFUNCTION("googletranslate(B81)"),"Supreme Decree No. 2472")</f>
        <v>Supreme Decree No. 2472</v>
      </c>
      <c r="D81" s="167" t="s">
        <v>3974</v>
      </c>
      <c r="E81" s="167" t="s">
        <v>3975</v>
      </c>
      <c r="F81" s="167" t="s">
        <v>18</v>
      </c>
      <c r="G81" s="170"/>
      <c r="H81" s="170">
        <v>2015.0</v>
      </c>
      <c r="I81" s="167" t="s">
        <v>924</v>
      </c>
      <c r="J81" s="167" t="s">
        <v>3976</v>
      </c>
      <c r="K81" s="171" t="s">
        <v>3977</v>
      </c>
      <c r="L81" s="167" t="s">
        <v>3716</v>
      </c>
      <c r="M81" s="113"/>
      <c r="N81" s="167" t="s">
        <v>23</v>
      </c>
    </row>
    <row r="82">
      <c r="A82" s="170">
        <v>9118.0</v>
      </c>
      <c r="B82" s="168" t="s">
        <v>3978</v>
      </c>
      <c r="C82" s="167" t="str">
        <f>IFERROR(__xludf.DUMMYFUNCTION("googletranslate(B82)"),"Supreme Decree No 2854")</f>
        <v>Supreme Decree No 2854</v>
      </c>
      <c r="D82" s="167" t="s">
        <v>3974</v>
      </c>
      <c r="E82" s="167" t="s">
        <v>3975</v>
      </c>
      <c r="F82" s="167" t="s">
        <v>18</v>
      </c>
      <c r="G82" s="170"/>
      <c r="H82" s="170">
        <v>2016.0</v>
      </c>
      <c r="I82" s="167" t="s">
        <v>924</v>
      </c>
      <c r="J82" s="167" t="s">
        <v>3979</v>
      </c>
      <c r="K82" s="171" t="s">
        <v>3980</v>
      </c>
      <c r="L82" s="167" t="s">
        <v>3716</v>
      </c>
      <c r="M82" s="113"/>
      <c r="N82" s="167" t="s">
        <v>23</v>
      </c>
    </row>
    <row r="83">
      <c r="A83" s="170">
        <v>1092.0</v>
      </c>
      <c r="B83" s="168" t="s">
        <v>3981</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3982</v>
      </c>
      <c r="K83" s="171" t="s">
        <v>3983</v>
      </c>
      <c r="L83" s="167" t="s">
        <v>3716</v>
      </c>
      <c r="M83" s="113"/>
      <c r="N83" s="167" t="s">
        <v>37</v>
      </c>
    </row>
    <row r="84">
      <c r="A84" s="170">
        <v>1092.0</v>
      </c>
      <c r="B84" s="168" t="s">
        <v>3984</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3985</v>
      </c>
      <c r="K84" s="171" t="s">
        <v>3986</v>
      </c>
      <c r="L84" s="167" t="s">
        <v>3716</v>
      </c>
      <c r="M84" s="113"/>
      <c r="N84" s="167" t="s">
        <v>37</v>
      </c>
    </row>
    <row r="85">
      <c r="A85" s="170">
        <v>1093.0</v>
      </c>
      <c r="B85" s="168" t="s">
        <v>3987</v>
      </c>
      <c r="C85" s="167" t="str">
        <f>IFERROR(__xludf.DUMMYFUNCTION("googletranslate(B85)"),"Law No. 12,114, of December 9, 2009")</f>
        <v>Law No. 12,114, of December 9, 2009</v>
      </c>
      <c r="D85" s="167" t="s">
        <v>698</v>
      </c>
      <c r="E85" s="167" t="s">
        <v>699</v>
      </c>
      <c r="F85" s="167" t="s">
        <v>41</v>
      </c>
      <c r="G85" s="170"/>
      <c r="H85" s="170">
        <v>2009.0</v>
      </c>
      <c r="I85" s="167" t="s">
        <v>700</v>
      </c>
      <c r="J85" s="167" t="s">
        <v>3988</v>
      </c>
      <c r="K85" s="171" t="s">
        <v>3989</v>
      </c>
      <c r="L85" s="167" t="s">
        <v>3716</v>
      </c>
      <c r="M85" s="113"/>
      <c r="N85" s="167" t="s">
        <v>37</v>
      </c>
    </row>
    <row r="86">
      <c r="A86" s="170">
        <v>1093.0</v>
      </c>
      <c r="B86" s="168" t="s">
        <v>3990</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3991</v>
      </c>
      <c r="K86" s="171" t="s">
        <v>3992</v>
      </c>
      <c r="L86" s="167" t="s">
        <v>3716</v>
      </c>
      <c r="M86" s="113"/>
      <c r="N86" s="167" t="s">
        <v>37</v>
      </c>
    </row>
    <row r="87">
      <c r="A87" s="170">
        <v>1094.0</v>
      </c>
      <c r="B87" s="167" t="s">
        <v>3993</v>
      </c>
      <c r="C87" s="185" t="s">
        <v>3994</v>
      </c>
      <c r="D87" s="167" t="s">
        <v>698</v>
      </c>
      <c r="E87" s="167" t="s">
        <v>699</v>
      </c>
      <c r="F87" s="167" t="s">
        <v>234</v>
      </c>
      <c r="G87" s="170"/>
      <c r="H87" s="170">
        <v>2008.0</v>
      </c>
      <c r="I87" s="167" t="s">
        <v>700</v>
      </c>
      <c r="J87" s="167" t="s">
        <v>3995</v>
      </c>
      <c r="K87" s="171" t="s">
        <v>3996</v>
      </c>
      <c r="L87" s="167" t="s">
        <v>3716</v>
      </c>
      <c r="M87" s="113"/>
      <c r="N87" s="167" t="s">
        <v>23</v>
      </c>
    </row>
    <row r="88">
      <c r="A88" s="170">
        <v>1094.0</v>
      </c>
      <c r="B88" s="168" t="s">
        <v>3997</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3998</v>
      </c>
      <c r="K88" s="171" t="s">
        <v>3999</v>
      </c>
      <c r="L88" s="167" t="s">
        <v>3716</v>
      </c>
      <c r="M88" s="113"/>
      <c r="N88" s="167" t="s">
        <v>23</v>
      </c>
    </row>
    <row r="89">
      <c r="A89" s="170">
        <v>1095.0</v>
      </c>
      <c r="B89" s="168" t="s">
        <v>4000</v>
      </c>
      <c r="C89" s="167" t="str">
        <f>IFERROR(__xludf.DUMMYFUNCTION("googletranslate(B89)"),"National Energy Plan 2030")</f>
        <v>National Energy Plan 2030</v>
      </c>
      <c r="D89" s="167" t="s">
        <v>698</v>
      </c>
      <c r="E89" s="167" t="s">
        <v>699</v>
      </c>
      <c r="F89" s="167" t="s">
        <v>234</v>
      </c>
      <c r="G89" s="170"/>
      <c r="H89" s="170">
        <v>2007.0</v>
      </c>
      <c r="I89" s="167" t="s">
        <v>700</v>
      </c>
      <c r="J89" s="167" t="s">
        <v>4001</v>
      </c>
      <c r="K89" s="171" t="s">
        <v>4002</v>
      </c>
      <c r="L89" s="167" t="s">
        <v>3716</v>
      </c>
      <c r="M89" s="113"/>
      <c r="N89" s="167" t="s">
        <v>37</v>
      </c>
    </row>
    <row r="90">
      <c r="A90" s="170">
        <v>1095.0</v>
      </c>
      <c r="B90" s="168" t="s">
        <v>4003</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4004</v>
      </c>
      <c r="K90" s="171" t="s">
        <v>4005</v>
      </c>
      <c r="L90" s="167" t="s">
        <v>3716</v>
      </c>
      <c r="M90" s="113"/>
      <c r="N90" s="167" t="s">
        <v>37</v>
      </c>
    </row>
    <row r="91">
      <c r="A91" s="170">
        <v>1095.0</v>
      </c>
      <c r="B91" s="168" t="s">
        <v>4006</v>
      </c>
      <c r="C91" s="167" t="str">
        <f>IFERROR(__xludf.DUMMYFUNCTION("googletranslate(B91)"),"National Energy Plan 2050")</f>
        <v>National Energy Plan 2050</v>
      </c>
      <c r="D91" s="167" t="s">
        <v>698</v>
      </c>
      <c r="E91" s="167" t="s">
        <v>699</v>
      </c>
      <c r="F91" s="167" t="s">
        <v>234</v>
      </c>
      <c r="G91" s="170"/>
      <c r="H91" s="170">
        <v>2020.0</v>
      </c>
      <c r="I91" s="167" t="s">
        <v>700</v>
      </c>
      <c r="J91" s="167" t="s">
        <v>4007</v>
      </c>
      <c r="K91" s="171" t="s">
        <v>4008</v>
      </c>
      <c r="L91" s="167" t="s">
        <v>3716</v>
      </c>
      <c r="M91" s="113"/>
      <c r="N91" s="167" t="s">
        <v>37</v>
      </c>
    </row>
    <row r="92">
      <c r="A92" s="170">
        <v>1100.0</v>
      </c>
      <c r="B92" s="168" t="s">
        <v>4009</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4010</v>
      </c>
      <c r="K92" s="171" t="s">
        <v>4011</v>
      </c>
      <c r="L92" s="167" t="s">
        <v>3716</v>
      </c>
      <c r="M92" s="113"/>
      <c r="N92" s="167" t="s">
        <v>37</v>
      </c>
    </row>
    <row r="93">
      <c r="A93" s="170">
        <v>1100.0</v>
      </c>
      <c r="B93" s="168" t="s">
        <v>4012</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4013</v>
      </c>
      <c r="K93" s="171" t="s">
        <v>4014</v>
      </c>
      <c r="L93" s="167" t="s">
        <v>3716</v>
      </c>
      <c r="M93" s="113"/>
      <c r="N93" s="167" t="s">
        <v>37</v>
      </c>
    </row>
    <row r="94">
      <c r="A94" s="170">
        <v>1813.0</v>
      </c>
      <c r="B94" s="168" t="s">
        <v>4015</v>
      </c>
      <c r="C94" s="167" t="str">
        <f>IFERROR(__xludf.DUMMYFUNCTION("googletranslate(B94)"),"Decree of July 7, 1999")</f>
        <v>Decree of July 7, 1999</v>
      </c>
      <c r="D94" s="167" t="s">
        <v>698</v>
      </c>
      <c r="E94" s="167" t="s">
        <v>699</v>
      </c>
      <c r="F94" s="167" t="s">
        <v>18</v>
      </c>
      <c r="G94" s="170"/>
      <c r="H94" s="170">
        <v>1999.0</v>
      </c>
      <c r="I94" s="167" t="s">
        <v>700</v>
      </c>
      <c r="J94" s="167" t="s">
        <v>4016</v>
      </c>
      <c r="K94" s="171" t="s">
        <v>4017</v>
      </c>
      <c r="L94" s="167" t="s">
        <v>3716</v>
      </c>
      <c r="M94" s="113"/>
      <c r="N94" s="167" t="s">
        <v>23</v>
      </c>
    </row>
    <row r="95">
      <c r="A95" s="170">
        <v>1813.0</v>
      </c>
      <c r="B95" s="167" t="s">
        <v>4018</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4019</v>
      </c>
      <c r="K95" s="171" t="s">
        <v>4020</v>
      </c>
      <c r="L95" s="167" t="s">
        <v>3716</v>
      </c>
      <c r="M95" s="113"/>
      <c r="N95" s="167" t="s">
        <v>23</v>
      </c>
    </row>
    <row r="96">
      <c r="A96" s="170">
        <v>1813.0</v>
      </c>
      <c r="B96" s="168" t="s">
        <v>4021</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4022</v>
      </c>
      <c r="K96" s="171" t="s">
        <v>4023</v>
      </c>
      <c r="L96" s="167" t="s">
        <v>3716</v>
      </c>
      <c r="M96" s="113"/>
      <c r="N96" s="167" t="s">
        <v>275</v>
      </c>
    </row>
    <row r="97">
      <c r="A97" s="170">
        <v>8774.0</v>
      </c>
      <c r="B97" s="168" t="s">
        <v>4024</v>
      </c>
      <c r="C97" s="167" t="str">
        <f>IFERROR(__xludf.DUMMYFUNCTION("googletranslate(B97)"),"Law No. 12,651, of May 25, 2012")</f>
        <v>Law No. 12,651, of May 25, 2012</v>
      </c>
      <c r="D97" s="167" t="s">
        <v>698</v>
      </c>
      <c r="E97" s="167" t="s">
        <v>699</v>
      </c>
      <c r="F97" s="167" t="s">
        <v>41</v>
      </c>
      <c r="G97" s="170"/>
      <c r="H97" s="170">
        <v>2012.0</v>
      </c>
      <c r="I97" s="167" t="s">
        <v>700</v>
      </c>
      <c r="J97" s="167" t="s">
        <v>4025</v>
      </c>
      <c r="K97" s="171" t="s">
        <v>4026</v>
      </c>
      <c r="L97" s="167" t="s">
        <v>3716</v>
      </c>
      <c r="M97" s="113"/>
      <c r="N97" s="167" t="s">
        <v>37</v>
      </c>
    </row>
    <row r="98">
      <c r="A98" s="170">
        <v>8774.0</v>
      </c>
      <c r="B98" s="168" t="s">
        <v>4027</v>
      </c>
      <c r="C98" s="167" t="str">
        <f>IFERROR(__xludf.DUMMYFUNCTION("googletranslate(B98)"),"Ordinance No 288, July 2, 2020")</f>
        <v>Ordinance No 288, July 2, 2020</v>
      </c>
      <c r="D98" s="167" t="s">
        <v>698</v>
      </c>
      <c r="E98" s="167" t="s">
        <v>699</v>
      </c>
      <c r="F98" s="167" t="s">
        <v>708</v>
      </c>
      <c r="G98" s="170"/>
      <c r="H98" s="170">
        <v>2020.0</v>
      </c>
      <c r="I98" s="167" t="s">
        <v>700</v>
      </c>
      <c r="J98" s="167" t="s">
        <v>4028</v>
      </c>
      <c r="K98" s="171" t="s">
        <v>4029</v>
      </c>
      <c r="L98" s="167" t="s">
        <v>3716</v>
      </c>
      <c r="M98" s="113"/>
      <c r="N98" s="167" t="s">
        <v>37</v>
      </c>
    </row>
    <row r="99">
      <c r="A99" s="170">
        <v>8788.0</v>
      </c>
      <c r="B99" s="168" t="s">
        <v>4030</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4031</v>
      </c>
      <c r="K99" s="171" t="s">
        <v>4032</v>
      </c>
      <c r="L99" s="167" t="s">
        <v>3716</v>
      </c>
      <c r="M99" s="113"/>
      <c r="N99" s="167" t="s">
        <v>23</v>
      </c>
    </row>
    <row r="100">
      <c r="A100" s="170">
        <v>8788.0</v>
      </c>
      <c r="B100" s="168" t="s">
        <v>4033</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4034</v>
      </c>
      <c r="K100" s="171" t="s">
        <v>4035</v>
      </c>
      <c r="L100" s="167" t="s">
        <v>3716</v>
      </c>
      <c r="M100" s="113"/>
      <c r="N100" s="167" t="s">
        <v>23</v>
      </c>
    </row>
    <row r="101">
      <c r="A101" s="170">
        <v>8792.0</v>
      </c>
      <c r="B101" s="168" t="s">
        <v>4036</v>
      </c>
      <c r="C101" s="172" t="s">
        <v>4037</v>
      </c>
      <c r="D101" s="167" t="s">
        <v>698</v>
      </c>
      <c r="E101" s="167" t="s">
        <v>699</v>
      </c>
      <c r="F101" s="167" t="s">
        <v>234</v>
      </c>
      <c r="G101" s="170"/>
      <c r="H101" s="170">
        <v>2016.0</v>
      </c>
      <c r="I101" s="167" t="s">
        <v>700</v>
      </c>
      <c r="J101" s="167" t="s">
        <v>4038</v>
      </c>
      <c r="K101" s="171" t="s">
        <v>4039</v>
      </c>
      <c r="L101" s="167" t="s">
        <v>3716</v>
      </c>
      <c r="M101" s="113"/>
      <c r="N101" s="167" t="s">
        <v>23</v>
      </c>
    </row>
    <row r="102">
      <c r="A102" s="170">
        <v>8792.0</v>
      </c>
      <c r="B102" s="168" t="s">
        <v>4037</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4040</v>
      </c>
      <c r="K102" s="171" t="s">
        <v>4041</v>
      </c>
      <c r="L102" s="167" t="s">
        <v>3716</v>
      </c>
      <c r="M102" s="113"/>
      <c r="N102" s="167" t="s">
        <v>23</v>
      </c>
    </row>
    <row r="103">
      <c r="A103" s="170">
        <v>8792.0</v>
      </c>
      <c r="B103" s="168" t="s">
        <v>4042</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4043</v>
      </c>
      <c r="K103" s="171" t="s">
        <v>4044</v>
      </c>
      <c r="L103" s="167" t="s">
        <v>3716</v>
      </c>
      <c r="M103" s="113"/>
      <c r="N103" s="167" t="s">
        <v>229</v>
      </c>
    </row>
    <row r="104">
      <c r="A104" s="170">
        <v>8794.0</v>
      </c>
      <c r="B104" s="168" t="s">
        <v>4045</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4046</v>
      </c>
      <c r="K104" s="171" t="s">
        <v>4047</v>
      </c>
      <c r="L104" s="167" t="s">
        <v>3716</v>
      </c>
      <c r="M104" s="113"/>
      <c r="N104" s="167" t="s">
        <v>23</v>
      </c>
    </row>
    <row r="105">
      <c r="A105" s="170">
        <v>8794.0</v>
      </c>
      <c r="B105" s="168" t="s">
        <v>4048</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4049</v>
      </c>
      <c r="K105" s="171" t="s">
        <v>4050</v>
      </c>
      <c r="L105" s="167" t="s">
        <v>3716</v>
      </c>
      <c r="M105" s="113"/>
      <c r="N105" s="167" t="s">
        <v>37</v>
      </c>
    </row>
    <row r="106">
      <c r="A106" s="170">
        <v>9479.0</v>
      </c>
      <c r="B106" s="168" t="s">
        <v>4051</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4052</v>
      </c>
      <c r="K106" s="171" t="s">
        <v>4053</v>
      </c>
      <c r="L106" s="167" t="s">
        <v>3716</v>
      </c>
      <c r="M106" s="113"/>
      <c r="N106" s="167" t="s">
        <v>37</v>
      </c>
    </row>
    <row r="107">
      <c r="A107" s="170">
        <v>9479.0</v>
      </c>
      <c r="B107" s="168" t="s">
        <v>4054</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4055</v>
      </c>
      <c r="K107" s="171" t="s">
        <v>4056</v>
      </c>
      <c r="L107" s="167" t="s">
        <v>3716</v>
      </c>
      <c r="M107" s="113"/>
      <c r="N107" s="167" t="s">
        <v>37</v>
      </c>
    </row>
    <row r="108">
      <c r="A108" s="170">
        <v>9603.0</v>
      </c>
      <c r="B108" s="168" t="s">
        <v>4057</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4058</v>
      </c>
      <c r="K108" s="171" t="s">
        <v>4059</v>
      </c>
      <c r="L108" s="167" t="s">
        <v>3716</v>
      </c>
      <c r="M108" s="113"/>
      <c r="N108" s="167" t="s">
        <v>229</v>
      </c>
    </row>
    <row r="109">
      <c r="A109" s="170">
        <v>9603.0</v>
      </c>
      <c r="B109" s="168" t="s">
        <v>4060</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4061</v>
      </c>
      <c r="K109" s="171" t="s">
        <v>4062</v>
      </c>
      <c r="L109" s="167" t="s">
        <v>3716</v>
      </c>
      <c r="M109" s="113"/>
      <c r="N109" s="167" t="s">
        <v>37</v>
      </c>
    </row>
    <row r="110">
      <c r="A110" s="170">
        <v>9737.0</v>
      </c>
      <c r="B110" s="168" t="s">
        <v>4063</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4064</v>
      </c>
      <c r="K110" s="171" t="s">
        <v>4065</v>
      </c>
      <c r="L110" s="167" t="s">
        <v>3716</v>
      </c>
      <c r="M110" s="113"/>
      <c r="N110" s="167" t="s">
        <v>23</v>
      </c>
    </row>
    <row r="111">
      <c r="A111" s="170">
        <v>9737.0</v>
      </c>
      <c r="B111" s="167" t="s">
        <v>4066</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4067</v>
      </c>
      <c r="K111" s="171" t="s">
        <v>4068</v>
      </c>
      <c r="L111" s="167" t="s">
        <v>3716</v>
      </c>
      <c r="M111" s="113"/>
      <c r="N111" s="167" t="s">
        <v>37</v>
      </c>
    </row>
    <row r="112">
      <c r="A112" s="170">
        <v>9862.0</v>
      </c>
      <c r="B112" s="168" t="s">
        <v>4069</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4070</v>
      </c>
      <c r="K112" s="171" t="s">
        <v>4071</v>
      </c>
      <c r="L112" s="167" t="s">
        <v>3716</v>
      </c>
      <c r="M112" s="113"/>
      <c r="N112" s="167" t="s">
        <v>37</v>
      </c>
    </row>
    <row r="113">
      <c r="A113" s="170">
        <v>9862.0</v>
      </c>
      <c r="B113" s="168" t="s">
        <v>4072</v>
      </c>
      <c r="C113" s="185" t="s">
        <v>4073</v>
      </c>
      <c r="D113" s="167" t="s">
        <v>698</v>
      </c>
      <c r="E113" s="167" t="s">
        <v>699</v>
      </c>
      <c r="F113" s="167" t="s">
        <v>234</v>
      </c>
      <c r="G113" s="170"/>
      <c r="H113" s="170">
        <v>2020.0</v>
      </c>
      <c r="I113" s="167" t="s">
        <v>700</v>
      </c>
      <c r="J113" s="167" t="s">
        <v>4074</v>
      </c>
      <c r="K113" s="171" t="s">
        <v>4075</v>
      </c>
      <c r="L113" s="167" t="s">
        <v>3716</v>
      </c>
      <c r="M113" s="113"/>
      <c r="N113" s="167" t="s">
        <v>37</v>
      </c>
    </row>
    <row r="114">
      <c r="A114" s="170">
        <v>10162.0</v>
      </c>
      <c r="B114" s="168" t="s">
        <v>4076</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4077</v>
      </c>
      <c r="K114" s="171" t="s">
        <v>4078</v>
      </c>
      <c r="L114" s="167" t="s">
        <v>3716</v>
      </c>
      <c r="M114" s="113"/>
      <c r="N114" s="167" t="s">
        <v>37</v>
      </c>
    </row>
    <row r="115">
      <c r="A115" s="173">
        <v>10162.0</v>
      </c>
      <c r="B115" s="176" t="s">
        <v>4079</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4080</v>
      </c>
      <c r="K115" s="177" t="s">
        <v>4081</v>
      </c>
      <c r="L115" s="176" t="s">
        <v>3716</v>
      </c>
      <c r="M115" s="174"/>
      <c r="N115" s="176" t="s">
        <v>326</v>
      </c>
    </row>
    <row r="116">
      <c r="A116" s="170">
        <v>10441.0</v>
      </c>
      <c r="B116" s="168" t="s">
        <v>4082</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4083</v>
      </c>
      <c r="K116" s="171" t="s">
        <v>4084</v>
      </c>
      <c r="L116" s="167" t="s">
        <v>3716</v>
      </c>
      <c r="M116" s="113"/>
      <c r="N116" s="167" t="s">
        <v>37</v>
      </c>
    </row>
    <row r="117">
      <c r="A117" s="170">
        <v>10441.0</v>
      </c>
      <c r="B117" s="168" t="s">
        <v>4085</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4086</v>
      </c>
      <c r="K117" s="171" t="s">
        <v>4087</v>
      </c>
      <c r="L117" s="167" t="s">
        <v>3716</v>
      </c>
      <c r="M117" s="113"/>
      <c r="N117" s="167" t="s">
        <v>23</v>
      </c>
    </row>
    <row r="118">
      <c r="A118" s="170">
        <v>10443.0</v>
      </c>
      <c r="B118" s="168" t="s">
        <v>4088</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4089</v>
      </c>
      <c r="K118" s="171" t="s">
        <v>4090</v>
      </c>
      <c r="L118" s="167" t="s">
        <v>3716</v>
      </c>
      <c r="M118" s="113"/>
      <c r="N118" s="167" t="s">
        <v>37</v>
      </c>
    </row>
    <row r="119">
      <c r="A119" s="170">
        <v>10443.0</v>
      </c>
      <c r="B119" s="168" t="s">
        <v>4091</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4092</v>
      </c>
      <c r="K119" s="171" t="s">
        <v>4093</v>
      </c>
      <c r="L119" s="167" t="s">
        <v>3716</v>
      </c>
      <c r="M119" s="113"/>
      <c r="N119" s="167" t="s">
        <v>37</v>
      </c>
    </row>
    <row r="120">
      <c r="A120" s="170">
        <v>10443.0</v>
      </c>
      <c r="B120" s="167" t="s">
        <v>4094</v>
      </c>
      <c r="C120" s="191" t="s">
        <v>4095</v>
      </c>
      <c r="D120" s="167" t="s">
        <v>698</v>
      </c>
      <c r="E120" s="167" t="s">
        <v>699</v>
      </c>
      <c r="F120" s="167" t="s">
        <v>850</v>
      </c>
      <c r="G120" s="170"/>
      <c r="H120" s="170">
        <v>2019.0</v>
      </c>
      <c r="I120" s="167" t="s">
        <v>700</v>
      </c>
      <c r="J120" s="167" t="s">
        <v>4096</v>
      </c>
      <c r="K120" s="171" t="s">
        <v>4097</v>
      </c>
      <c r="L120" s="167" t="s">
        <v>3716</v>
      </c>
      <c r="M120" s="113"/>
      <c r="N120" s="167" t="s">
        <v>23</v>
      </c>
    </row>
  </sheetData>
  <autoFilter ref="$A$1:$N$120"/>
  <dataValidations>
    <dataValidation type="list" allowBlank="1" sqref="F2:G120">
      <formula1>'_document type values'!$A:$A</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J47"/>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J70"/>
    <hyperlink r:id="rId72" ref="K70"/>
    <hyperlink r:id="rId73" ref="J71"/>
    <hyperlink r:id="rId74" ref="K71"/>
    <hyperlink r:id="rId75" ref="K72"/>
    <hyperlink r:id="rId76" ref="K73"/>
    <hyperlink r:id="rId77" ref="K74"/>
    <hyperlink r:id="rId78" ref="K75"/>
    <hyperlink r:id="rId79" ref="K76"/>
    <hyperlink r:id="rId80" location="belgiums-recovery-and-resilience-plan|en" ref="J77"/>
    <hyperlink r:id="rId81" location="belgiums-recovery-and-resilience-plan" ref="K77"/>
    <hyperlink r:id="rId82" ref="J78"/>
    <hyperlink r:id="rId83" ref="K78"/>
    <hyperlink r:id="rId84" ref="K79"/>
    <hyperlink r:id="rId85" ref="K80"/>
    <hyperlink r:id="rId86" ref="K81"/>
    <hyperlink r:id="rId87" ref="K82"/>
    <hyperlink r:id="rId88" ref="K83"/>
    <hyperlink r:id="rId89" ref="K84"/>
    <hyperlink r:id="rId90" ref="K85"/>
    <hyperlink r:id="rId91" ref="K86"/>
    <hyperlink r:id="rId92" ref="K87"/>
    <hyperlink r:id="rId93" ref="K88"/>
    <hyperlink r:id="rId94" ref="K89"/>
    <hyperlink r:id="rId95" ref="K90"/>
    <hyperlink r:id="rId96" ref="K91"/>
    <hyperlink r:id="rId97" ref="K92"/>
    <hyperlink r:id="rId98" ref="K93"/>
    <hyperlink r:id="rId99" ref="K94"/>
    <hyperlink r:id="rId100" ref="K95"/>
    <hyperlink r:id="rId101" ref="K96"/>
    <hyperlink r:id="rId102" ref="K97"/>
    <hyperlink r:id="rId103" ref="K98"/>
    <hyperlink r:id="rId104" ref="K99"/>
    <hyperlink r:id="rId105" ref="K100"/>
    <hyperlink r:id="rId106" ref="K101"/>
    <hyperlink r:id="rId107" ref="K102"/>
    <hyperlink r:id="rId108" ref="K103"/>
    <hyperlink r:id="rId109" ref="K104"/>
    <hyperlink r:id="rId110" ref="K105"/>
    <hyperlink r:id="rId111" ref="K106"/>
    <hyperlink r:id="rId112" location="art20|pt" ref="J107"/>
    <hyperlink r:id="rId113" location="art20" ref="K107"/>
    <hyperlink r:id="rId114" ref="K108"/>
    <hyperlink r:id="rId115" ref="K109"/>
    <hyperlink r:id="rId116" ref="K110"/>
    <hyperlink r:id="rId117" ref="K111"/>
    <hyperlink r:id="rId118" ref="K112"/>
    <hyperlink r:id="rId119" ref="K113"/>
    <hyperlink r:id="rId120" ref="K114"/>
    <hyperlink r:id="rId121" ref="K115"/>
    <hyperlink r:id="rId122" ref="K116"/>
    <hyperlink r:id="rId123" ref="K117"/>
    <hyperlink r:id="rId124" ref="K118"/>
    <hyperlink r:id="rId125" location="art91|pt" ref="J119"/>
    <hyperlink r:id="rId126" location="art91" ref="K119"/>
    <hyperlink r:id="rId127" ref="K120"/>
  </hyperlinks>
  <drawing r:id="rId128"/>
  <legacyDrawing r:id="rId1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4098</v>
      </c>
      <c r="R1" s="27"/>
      <c r="S1" s="27"/>
      <c r="T1" s="27"/>
      <c r="U1" s="27"/>
      <c r="V1" s="27"/>
      <c r="W1" s="27"/>
      <c r="X1" s="27"/>
      <c r="Y1" s="27"/>
      <c r="Z1" s="27"/>
      <c r="AA1" s="27"/>
      <c r="AB1" s="27"/>
    </row>
    <row r="2">
      <c r="A2" s="109">
        <v>4982.0</v>
      </c>
      <c r="B2" s="110" t="s">
        <v>4099</v>
      </c>
      <c r="C2" s="110" t="s">
        <v>449</v>
      </c>
      <c r="D2" s="110" t="s">
        <v>3712</v>
      </c>
      <c r="E2" s="110" t="s">
        <v>3713</v>
      </c>
      <c r="F2" s="113"/>
      <c r="G2" s="110" t="s">
        <v>610</v>
      </c>
      <c r="H2" s="110" t="s">
        <v>671</v>
      </c>
      <c r="I2" s="110" t="s">
        <v>41</v>
      </c>
      <c r="J2" s="113"/>
      <c r="K2" s="110" t="s">
        <v>450</v>
      </c>
      <c r="L2" s="110" t="s">
        <v>4100</v>
      </c>
      <c r="M2" s="110" t="s">
        <v>2423</v>
      </c>
      <c r="N2" s="110"/>
      <c r="O2" s="110"/>
      <c r="P2" s="194" t="s">
        <v>4101</v>
      </c>
      <c r="Q2" s="135"/>
    </row>
    <row r="3">
      <c r="A3" s="109">
        <v>1014.0</v>
      </c>
      <c r="B3" s="110" t="s">
        <v>4102</v>
      </c>
      <c r="C3" s="110" t="s">
        <v>449</v>
      </c>
      <c r="D3" s="110" t="s">
        <v>3721</v>
      </c>
      <c r="E3" s="110" t="s">
        <v>3722</v>
      </c>
      <c r="F3" s="113"/>
      <c r="G3" s="110" t="s">
        <v>441</v>
      </c>
      <c r="H3" s="110" t="s">
        <v>4103</v>
      </c>
      <c r="I3" s="110" t="s">
        <v>217</v>
      </c>
      <c r="J3" s="113"/>
      <c r="K3" s="110" t="s">
        <v>3146</v>
      </c>
      <c r="L3" s="110" t="s">
        <v>522</v>
      </c>
      <c r="M3" s="110" t="s">
        <v>4104</v>
      </c>
      <c r="N3" s="110"/>
      <c r="O3" s="110"/>
      <c r="P3" s="194" t="s">
        <v>4105</v>
      </c>
      <c r="Q3" s="135"/>
    </row>
    <row r="4">
      <c r="A4" s="109">
        <v>4902.0</v>
      </c>
      <c r="B4" s="110" t="s">
        <v>4106</v>
      </c>
      <c r="C4" s="110" t="s">
        <v>432</v>
      </c>
      <c r="D4" s="110" t="s">
        <v>3729</v>
      </c>
      <c r="E4" s="110" t="s">
        <v>3730</v>
      </c>
      <c r="F4" s="113"/>
      <c r="G4" s="110" t="s">
        <v>441</v>
      </c>
      <c r="H4" s="111"/>
      <c r="I4" s="110" t="s">
        <v>435</v>
      </c>
      <c r="J4" s="113"/>
      <c r="K4" s="110" t="s">
        <v>537</v>
      </c>
      <c r="L4" s="110" t="s">
        <v>538</v>
      </c>
      <c r="M4" s="110" t="s">
        <v>4107</v>
      </c>
      <c r="N4" s="110"/>
      <c r="O4" s="110"/>
      <c r="P4" s="110" t="s">
        <v>4108</v>
      </c>
      <c r="Q4" s="135"/>
    </row>
    <row r="5">
      <c r="A5" s="109">
        <v>9792.0</v>
      </c>
      <c r="B5" s="110" t="s">
        <v>4109</v>
      </c>
      <c r="C5" s="110" t="s">
        <v>432</v>
      </c>
      <c r="D5" s="110" t="s">
        <v>3729</v>
      </c>
      <c r="E5" s="110" t="s">
        <v>3730</v>
      </c>
      <c r="F5" s="113"/>
      <c r="G5" s="110" t="s">
        <v>441</v>
      </c>
      <c r="H5" s="112" t="s">
        <v>442</v>
      </c>
      <c r="I5" s="110" t="s">
        <v>18</v>
      </c>
      <c r="J5" s="113"/>
      <c r="K5" s="110" t="s">
        <v>4110</v>
      </c>
      <c r="L5" s="110" t="s">
        <v>562</v>
      </c>
      <c r="M5" s="110" t="s">
        <v>4111</v>
      </c>
      <c r="N5" s="110"/>
      <c r="O5" s="110"/>
      <c r="P5" s="110" t="s">
        <v>4112</v>
      </c>
      <c r="Q5" s="125" t="s">
        <v>4102</v>
      </c>
    </row>
    <row r="6">
      <c r="A6" s="109">
        <v>9793.0</v>
      </c>
      <c r="B6" s="110" t="s">
        <v>4113</v>
      </c>
      <c r="C6" s="110" t="s">
        <v>449</v>
      </c>
      <c r="D6" s="110" t="s">
        <v>3729</v>
      </c>
      <c r="E6" s="110" t="s">
        <v>3730</v>
      </c>
      <c r="F6" s="113"/>
      <c r="G6" s="110" t="s">
        <v>441</v>
      </c>
      <c r="H6" s="112" t="s">
        <v>592</v>
      </c>
      <c r="I6" s="110" t="s">
        <v>41</v>
      </c>
      <c r="J6" s="113"/>
      <c r="K6" s="110" t="s">
        <v>4114</v>
      </c>
      <c r="L6" s="110" t="s">
        <v>459</v>
      </c>
      <c r="M6" s="110" t="s">
        <v>4115</v>
      </c>
      <c r="N6" s="110"/>
      <c r="O6" s="110"/>
      <c r="P6" s="194" t="s">
        <v>4116</v>
      </c>
      <c r="Q6" s="195" t="s">
        <v>4106</v>
      </c>
    </row>
    <row r="7">
      <c r="A7" s="109">
        <v>9796.0</v>
      </c>
      <c r="B7" s="110" t="s">
        <v>4117</v>
      </c>
      <c r="C7" s="110" t="s">
        <v>432</v>
      </c>
      <c r="D7" s="110" t="s">
        <v>3729</v>
      </c>
      <c r="E7" s="110" t="s">
        <v>3730</v>
      </c>
      <c r="F7" s="113"/>
      <c r="G7" s="110" t="s">
        <v>441</v>
      </c>
      <c r="H7" s="110" t="s">
        <v>442</v>
      </c>
      <c r="I7" s="110" t="s">
        <v>18</v>
      </c>
      <c r="J7" s="113"/>
      <c r="K7" s="110" t="s">
        <v>4118</v>
      </c>
      <c r="L7" s="110" t="s">
        <v>4119</v>
      </c>
      <c r="M7" s="110" t="s">
        <v>4120</v>
      </c>
      <c r="N7" s="110"/>
      <c r="O7" s="110"/>
      <c r="P7" s="194" t="s">
        <v>4121</v>
      </c>
      <c r="Q7" s="195" t="s">
        <v>4122</v>
      </c>
    </row>
    <row r="8">
      <c r="A8" s="109">
        <v>8479.0</v>
      </c>
      <c r="B8" s="110" t="s">
        <v>3760</v>
      </c>
      <c r="C8" s="110" t="s">
        <v>449</v>
      </c>
      <c r="D8" s="110" t="s">
        <v>3761</v>
      </c>
      <c r="E8" s="110" t="s">
        <v>3762</v>
      </c>
      <c r="F8" s="113"/>
      <c r="G8" s="110" t="s">
        <v>433</v>
      </c>
      <c r="H8" s="110" t="s">
        <v>3629</v>
      </c>
      <c r="I8" s="110" t="s">
        <v>41</v>
      </c>
      <c r="J8" s="113"/>
      <c r="K8" s="110" t="s">
        <v>547</v>
      </c>
      <c r="L8" s="110" t="s">
        <v>4123</v>
      </c>
      <c r="M8" s="110" t="s">
        <v>4124</v>
      </c>
      <c r="N8" s="110"/>
      <c r="O8" s="110"/>
      <c r="P8" s="194" t="s">
        <v>4125</v>
      </c>
      <c r="Q8" s="195" t="s">
        <v>4109</v>
      </c>
    </row>
    <row r="9">
      <c r="A9" s="109">
        <v>8482.0</v>
      </c>
      <c r="B9" s="110" t="s">
        <v>3774</v>
      </c>
      <c r="C9" s="110" t="s">
        <v>432</v>
      </c>
      <c r="D9" s="110" t="s">
        <v>3761</v>
      </c>
      <c r="E9" s="110" t="s">
        <v>3762</v>
      </c>
      <c r="F9" s="113"/>
      <c r="G9" s="110" t="s">
        <v>450</v>
      </c>
      <c r="H9" s="111"/>
      <c r="I9" s="110" t="s">
        <v>234</v>
      </c>
      <c r="J9" s="113"/>
      <c r="K9" s="110" t="s">
        <v>4126</v>
      </c>
      <c r="L9" s="110" t="s">
        <v>4127</v>
      </c>
      <c r="M9" s="110" t="s">
        <v>2521</v>
      </c>
      <c r="N9" s="110"/>
      <c r="O9" s="110"/>
      <c r="P9" s="194" t="s">
        <v>4128</v>
      </c>
      <c r="Q9" s="195" t="s">
        <v>4129</v>
      </c>
    </row>
    <row r="10">
      <c r="A10" s="109">
        <v>8826.0</v>
      </c>
      <c r="B10" s="110" t="s">
        <v>4130</v>
      </c>
      <c r="C10" s="110" t="s">
        <v>449</v>
      </c>
      <c r="D10" s="110" t="s">
        <v>3761</v>
      </c>
      <c r="E10" s="110" t="s">
        <v>3762</v>
      </c>
      <c r="F10" s="113"/>
      <c r="G10" s="110" t="s">
        <v>2358</v>
      </c>
      <c r="H10" s="110" t="s">
        <v>671</v>
      </c>
      <c r="I10" s="110" t="s">
        <v>45</v>
      </c>
      <c r="J10" s="113"/>
      <c r="K10" s="110" t="s">
        <v>4131</v>
      </c>
      <c r="L10" s="110" t="s">
        <v>3580</v>
      </c>
      <c r="M10" s="110" t="s">
        <v>4132</v>
      </c>
      <c r="N10" s="110"/>
      <c r="O10" s="110"/>
      <c r="P10" s="194" t="s">
        <v>4133</v>
      </c>
      <c r="Q10" s="196" t="s">
        <v>4134</v>
      </c>
    </row>
    <row r="11">
      <c r="A11" s="109">
        <v>2007.0</v>
      </c>
      <c r="B11" s="110" t="s">
        <v>4135</v>
      </c>
      <c r="C11" s="110" t="s">
        <v>449</v>
      </c>
      <c r="D11" s="110" t="s">
        <v>3785</v>
      </c>
      <c r="E11" s="110" t="s">
        <v>3786</v>
      </c>
      <c r="F11" s="113"/>
      <c r="G11" s="110" t="s">
        <v>441</v>
      </c>
      <c r="H11" s="110" t="s">
        <v>1846</v>
      </c>
      <c r="I11" s="110" t="s">
        <v>41</v>
      </c>
      <c r="J11" s="113"/>
      <c r="K11" s="110" t="s">
        <v>1241</v>
      </c>
      <c r="L11" s="110" t="s">
        <v>489</v>
      </c>
      <c r="M11" s="110" t="s">
        <v>4136</v>
      </c>
      <c r="N11" s="110"/>
      <c r="O11" s="110"/>
      <c r="P11" s="194" t="s">
        <v>4137</v>
      </c>
      <c r="Q11" s="134" t="s">
        <v>4129</v>
      </c>
    </row>
    <row r="12">
      <c r="A12" s="109">
        <v>2008.0</v>
      </c>
      <c r="B12" s="110" t="s">
        <v>4138</v>
      </c>
      <c r="C12" s="110" t="s">
        <v>449</v>
      </c>
      <c r="D12" s="110" t="s">
        <v>3785</v>
      </c>
      <c r="E12" s="110" t="s">
        <v>3786</v>
      </c>
      <c r="F12" s="113"/>
      <c r="G12" s="110" t="s">
        <v>441</v>
      </c>
      <c r="H12" s="110" t="s">
        <v>1725</v>
      </c>
      <c r="I12" s="110" t="s">
        <v>41</v>
      </c>
      <c r="J12" s="113"/>
      <c r="K12" s="110" t="s">
        <v>1141</v>
      </c>
      <c r="L12" s="110" t="s">
        <v>489</v>
      </c>
      <c r="M12" s="110" t="s">
        <v>4139</v>
      </c>
      <c r="N12" s="110"/>
      <c r="O12" s="110"/>
      <c r="P12" s="194" t="s">
        <v>4140</v>
      </c>
      <c r="Q12" s="125" t="s">
        <v>4141</v>
      </c>
    </row>
    <row r="13">
      <c r="A13" s="109">
        <v>9197.0</v>
      </c>
      <c r="B13" s="110" t="s">
        <v>4142</v>
      </c>
      <c r="C13" s="110" t="s">
        <v>432</v>
      </c>
      <c r="D13" s="110" t="s">
        <v>3785</v>
      </c>
      <c r="E13" s="110" t="s">
        <v>3786</v>
      </c>
      <c r="F13" s="113"/>
      <c r="G13" s="110" t="s">
        <v>441</v>
      </c>
      <c r="H13" s="110" t="s">
        <v>1221</v>
      </c>
      <c r="I13" s="110" t="s">
        <v>18</v>
      </c>
      <c r="J13" s="113"/>
      <c r="K13" s="110" t="s">
        <v>537</v>
      </c>
      <c r="L13" s="110" t="s">
        <v>489</v>
      </c>
      <c r="M13" s="110" t="s">
        <v>4143</v>
      </c>
      <c r="N13" s="110"/>
      <c r="O13" s="110"/>
      <c r="P13" s="194" t="s">
        <v>4144</v>
      </c>
      <c r="Q13" s="119" t="s">
        <v>4113</v>
      </c>
    </row>
    <row r="14">
      <c r="A14" s="109">
        <v>8461.0</v>
      </c>
      <c r="B14" s="110" t="s">
        <v>4145</v>
      </c>
      <c r="C14" s="110" t="s">
        <v>432</v>
      </c>
      <c r="D14" s="110" t="s">
        <v>3807</v>
      </c>
      <c r="E14" s="110" t="s">
        <v>3808</v>
      </c>
      <c r="F14" s="113"/>
      <c r="G14" s="110" t="s">
        <v>441</v>
      </c>
      <c r="H14" s="110" t="s">
        <v>434</v>
      </c>
      <c r="I14" s="110" t="s">
        <v>850</v>
      </c>
      <c r="J14" s="113"/>
      <c r="K14" s="110" t="s">
        <v>475</v>
      </c>
      <c r="L14" s="110" t="s">
        <v>4146</v>
      </c>
      <c r="M14" s="110" t="s">
        <v>4147</v>
      </c>
      <c r="N14" s="110"/>
      <c r="O14" s="110"/>
      <c r="P14" s="194" t="s">
        <v>4148</v>
      </c>
      <c r="Q14" s="134" t="s">
        <v>4117</v>
      </c>
    </row>
    <row r="15">
      <c r="A15" s="109">
        <v>10193.0</v>
      </c>
      <c r="B15" s="110" t="s">
        <v>4149</v>
      </c>
      <c r="C15" s="110" t="s">
        <v>432</v>
      </c>
      <c r="D15" s="110" t="s">
        <v>3807</v>
      </c>
      <c r="E15" s="110" t="s">
        <v>3808</v>
      </c>
      <c r="F15" s="113"/>
      <c r="G15" s="110" t="s">
        <v>450</v>
      </c>
      <c r="H15" s="110" t="s">
        <v>434</v>
      </c>
      <c r="I15" s="110" t="s">
        <v>144</v>
      </c>
      <c r="J15" s="113"/>
      <c r="K15" s="111"/>
      <c r="L15" s="110" t="s">
        <v>4150</v>
      </c>
      <c r="M15" s="110" t="s">
        <v>4151</v>
      </c>
      <c r="N15" s="110"/>
      <c r="O15" s="110"/>
      <c r="P15" s="194" t="s">
        <v>4152</v>
      </c>
      <c r="Q15" s="197" t="s">
        <v>4153</v>
      </c>
    </row>
    <row r="16">
      <c r="A16" s="109">
        <v>10519.0</v>
      </c>
      <c r="B16" s="110" t="s">
        <v>4154</v>
      </c>
      <c r="C16" s="110" t="s">
        <v>432</v>
      </c>
      <c r="D16" s="110" t="s">
        <v>3807</v>
      </c>
      <c r="E16" s="110" t="s">
        <v>3808</v>
      </c>
      <c r="F16" s="113"/>
      <c r="G16" s="110" t="s">
        <v>433</v>
      </c>
      <c r="H16" s="110" t="s">
        <v>671</v>
      </c>
      <c r="I16" s="110" t="s">
        <v>18</v>
      </c>
      <c r="J16" s="113"/>
      <c r="K16" s="111"/>
      <c r="L16" s="110" t="s">
        <v>1789</v>
      </c>
      <c r="M16" s="110" t="s">
        <v>4155</v>
      </c>
      <c r="N16" s="110"/>
      <c r="O16" s="110"/>
      <c r="P16" s="194" t="s">
        <v>4156</v>
      </c>
      <c r="Q16" s="135"/>
    </row>
    <row r="17">
      <c r="A17" s="109">
        <v>1034.0</v>
      </c>
      <c r="B17" s="110" t="s">
        <v>3828</v>
      </c>
      <c r="C17" s="110" t="s">
        <v>449</v>
      </c>
      <c r="D17" s="110" t="s">
        <v>3829</v>
      </c>
      <c r="E17" s="110" t="s">
        <v>3830</v>
      </c>
      <c r="F17" s="113"/>
      <c r="G17" s="110" t="s">
        <v>441</v>
      </c>
      <c r="H17" s="110" t="s">
        <v>3685</v>
      </c>
      <c r="I17" s="110" t="s">
        <v>41</v>
      </c>
      <c r="J17" s="113"/>
      <c r="K17" s="110" t="s">
        <v>4157</v>
      </c>
      <c r="L17" s="110" t="s">
        <v>4158</v>
      </c>
      <c r="M17" s="110" t="s">
        <v>4159</v>
      </c>
      <c r="N17" s="110"/>
      <c r="O17" s="110"/>
      <c r="P17" s="194" t="s">
        <v>4160</v>
      </c>
      <c r="Q17" s="135"/>
    </row>
    <row r="18">
      <c r="A18" s="109">
        <v>8779.0</v>
      </c>
      <c r="B18" s="110" t="s">
        <v>4161</v>
      </c>
      <c r="C18" s="110" t="s">
        <v>432</v>
      </c>
      <c r="D18" s="110" t="s">
        <v>3829</v>
      </c>
      <c r="E18" s="110" t="s">
        <v>3830</v>
      </c>
      <c r="F18" s="113"/>
      <c r="G18" s="110" t="s">
        <v>450</v>
      </c>
      <c r="H18" s="112" t="s">
        <v>586</v>
      </c>
      <c r="I18" s="110" t="s">
        <v>234</v>
      </c>
      <c r="J18" s="113"/>
      <c r="K18" s="110" t="s">
        <v>450</v>
      </c>
      <c r="L18" s="110" t="s">
        <v>4162</v>
      </c>
      <c r="M18" s="110" t="s">
        <v>2409</v>
      </c>
      <c r="N18" s="110"/>
      <c r="O18" s="110"/>
      <c r="P18" s="110" t="s">
        <v>4163</v>
      </c>
      <c r="Q18" s="135"/>
    </row>
    <row r="19">
      <c r="A19" s="109">
        <v>9764.0</v>
      </c>
      <c r="B19" s="110" t="s">
        <v>4164</v>
      </c>
      <c r="C19" s="110" t="s">
        <v>432</v>
      </c>
      <c r="D19" s="110" t="s">
        <v>3829</v>
      </c>
      <c r="E19" s="110" t="s">
        <v>3830</v>
      </c>
      <c r="F19" s="113"/>
      <c r="G19" s="110" t="s">
        <v>441</v>
      </c>
      <c r="H19" s="112" t="s">
        <v>434</v>
      </c>
      <c r="I19" s="110" t="s">
        <v>144</v>
      </c>
      <c r="J19" s="113"/>
      <c r="K19" s="110" t="s">
        <v>620</v>
      </c>
      <c r="L19" s="110" t="s">
        <v>459</v>
      </c>
      <c r="M19" s="110" t="s">
        <v>3534</v>
      </c>
      <c r="N19" s="110"/>
      <c r="O19" s="110"/>
      <c r="P19" s="110" t="s">
        <v>4165</v>
      </c>
      <c r="Q19" s="135"/>
    </row>
    <row r="20">
      <c r="A20" s="109">
        <v>10328.0</v>
      </c>
      <c r="B20" s="110" t="s">
        <v>4166</v>
      </c>
      <c r="C20" s="110" t="s">
        <v>432</v>
      </c>
      <c r="D20" s="110" t="s">
        <v>3829</v>
      </c>
      <c r="E20" s="110" t="s">
        <v>3830</v>
      </c>
      <c r="F20" s="112" t="s">
        <v>441</v>
      </c>
      <c r="G20" s="110" t="s">
        <v>441</v>
      </c>
      <c r="H20" s="112" t="s">
        <v>4167</v>
      </c>
      <c r="I20" s="110" t="s">
        <v>234</v>
      </c>
      <c r="J20" s="113"/>
      <c r="K20" s="110" t="s">
        <v>4168</v>
      </c>
      <c r="L20" s="110" t="s">
        <v>511</v>
      </c>
      <c r="M20" s="110" t="s">
        <v>4169</v>
      </c>
      <c r="N20" s="110"/>
      <c r="O20" s="110"/>
      <c r="P20" s="110" t="s">
        <v>4170</v>
      </c>
      <c r="Q20" s="135"/>
    </row>
    <row r="21">
      <c r="A21" s="109">
        <v>10333.0</v>
      </c>
      <c r="B21" s="110" t="s">
        <v>3852</v>
      </c>
      <c r="C21" s="110" t="s">
        <v>432</v>
      </c>
      <c r="D21" s="110" t="s">
        <v>3829</v>
      </c>
      <c r="E21" s="110" t="s">
        <v>3830</v>
      </c>
      <c r="F21" s="113"/>
      <c r="G21" s="110" t="s">
        <v>441</v>
      </c>
      <c r="H21" s="110" t="s">
        <v>4171</v>
      </c>
      <c r="I21" s="110" t="s">
        <v>3022</v>
      </c>
      <c r="J21" s="113"/>
      <c r="K21" s="110" t="s">
        <v>4172</v>
      </c>
      <c r="L21" s="110" t="s">
        <v>4173</v>
      </c>
      <c r="M21" s="110" t="s">
        <v>4174</v>
      </c>
      <c r="N21" s="110"/>
      <c r="O21" s="110"/>
      <c r="P21" s="110" t="s">
        <v>4175</v>
      </c>
      <c r="Q21" s="135"/>
    </row>
    <row r="22">
      <c r="A22" s="109">
        <v>1042.0</v>
      </c>
      <c r="B22" s="110" t="s">
        <v>4176</v>
      </c>
      <c r="C22" s="110" t="s">
        <v>449</v>
      </c>
      <c r="D22" s="110" t="s">
        <v>3862</v>
      </c>
      <c r="E22" s="110" t="s">
        <v>3863</v>
      </c>
      <c r="F22" s="112" t="s">
        <v>441</v>
      </c>
      <c r="G22" s="110" t="s">
        <v>441</v>
      </c>
      <c r="H22" s="110" t="s">
        <v>4177</v>
      </c>
      <c r="I22" s="110" t="s">
        <v>41</v>
      </c>
      <c r="J22" s="113"/>
      <c r="K22" s="110" t="s">
        <v>547</v>
      </c>
      <c r="L22" s="110" t="s">
        <v>4178</v>
      </c>
      <c r="M22" s="110" t="s">
        <v>4179</v>
      </c>
      <c r="N22" s="110"/>
      <c r="O22" s="110"/>
      <c r="P22" s="110" t="s">
        <v>4180</v>
      </c>
      <c r="Q22" s="135"/>
    </row>
    <row r="23">
      <c r="A23" s="109">
        <v>9493.0</v>
      </c>
      <c r="B23" s="110" t="s">
        <v>3869</v>
      </c>
      <c r="C23" s="110" t="s">
        <v>432</v>
      </c>
      <c r="D23" s="110" t="s">
        <v>3862</v>
      </c>
      <c r="E23" s="110" t="s">
        <v>3863</v>
      </c>
      <c r="F23" s="113"/>
      <c r="G23" s="110" t="s">
        <v>433</v>
      </c>
      <c r="H23" s="110" t="s">
        <v>4181</v>
      </c>
      <c r="I23" s="110" t="s">
        <v>234</v>
      </c>
      <c r="J23" s="112" t="s">
        <v>4182</v>
      </c>
      <c r="K23" s="110" t="s">
        <v>4183</v>
      </c>
      <c r="L23" s="110" t="s">
        <v>2470</v>
      </c>
      <c r="M23" s="110" t="s">
        <v>4184</v>
      </c>
      <c r="N23" s="110"/>
      <c r="O23" s="110"/>
      <c r="P23" s="194" t="s">
        <v>4185</v>
      </c>
      <c r="Q23" s="29" t="s">
        <v>4135</v>
      </c>
    </row>
    <row r="24">
      <c r="A24" s="109">
        <v>9522.0</v>
      </c>
      <c r="B24" s="110" t="s">
        <v>4186</v>
      </c>
      <c r="C24" s="110" t="s">
        <v>449</v>
      </c>
      <c r="D24" s="110" t="s">
        <v>3862</v>
      </c>
      <c r="E24" s="110" t="s">
        <v>3863</v>
      </c>
      <c r="F24" s="113"/>
      <c r="G24" s="110" t="s">
        <v>441</v>
      </c>
      <c r="H24" s="110" t="s">
        <v>1725</v>
      </c>
      <c r="I24" s="110" t="s">
        <v>45</v>
      </c>
      <c r="J24" s="113"/>
      <c r="K24" s="110" t="s">
        <v>4187</v>
      </c>
      <c r="L24" s="110" t="s">
        <v>593</v>
      </c>
      <c r="M24" s="110" t="s">
        <v>4188</v>
      </c>
      <c r="N24" s="110"/>
      <c r="O24" s="110"/>
      <c r="P24" s="110" t="s">
        <v>4189</v>
      </c>
      <c r="Q24" s="135"/>
    </row>
    <row r="25">
      <c r="A25" s="109">
        <v>10490.0</v>
      </c>
      <c r="B25" s="110" t="s">
        <v>4190</v>
      </c>
      <c r="C25" s="110" t="s">
        <v>432</v>
      </c>
      <c r="D25" s="110" t="s">
        <v>3862</v>
      </c>
      <c r="E25" s="110" t="s">
        <v>3863</v>
      </c>
      <c r="F25" s="113"/>
      <c r="G25" s="110" t="s">
        <v>441</v>
      </c>
      <c r="H25" s="110" t="s">
        <v>573</v>
      </c>
      <c r="I25" s="110" t="s">
        <v>234</v>
      </c>
      <c r="J25" s="113"/>
      <c r="K25" s="110" t="s">
        <v>4191</v>
      </c>
      <c r="L25" s="110" t="s">
        <v>4192</v>
      </c>
      <c r="M25" s="110" t="s">
        <v>4193</v>
      </c>
      <c r="N25" s="110"/>
      <c r="O25" s="110"/>
      <c r="P25" s="110" t="s">
        <v>4194</v>
      </c>
      <c r="Q25" s="135"/>
    </row>
    <row r="26">
      <c r="A26" s="109">
        <v>10469.0</v>
      </c>
      <c r="B26" s="110" t="s">
        <v>4195</v>
      </c>
      <c r="C26" s="110" t="s">
        <v>432</v>
      </c>
      <c r="D26" s="110" t="s">
        <v>3897</v>
      </c>
      <c r="E26" s="110" t="s">
        <v>3898</v>
      </c>
      <c r="F26" s="113"/>
      <c r="G26" s="110" t="s">
        <v>433</v>
      </c>
      <c r="H26" s="110" t="s">
        <v>3685</v>
      </c>
      <c r="I26" s="110" t="s">
        <v>137</v>
      </c>
      <c r="J26" s="113"/>
      <c r="K26" s="111"/>
      <c r="L26" s="110" t="s">
        <v>1727</v>
      </c>
      <c r="M26" s="110" t="s">
        <v>4196</v>
      </c>
      <c r="N26" s="110"/>
      <c r="O26" s="110"/>
      <c r="P26" s="110" t="s">
        <v>4197</v>
      </c>
      <c r="Q26" s="135"/>
    </row>
    <row r="27">
      <c r="A27" s="109">
        <v>1059.0</v>
      </c>
      <c r="B27" s="110" t="s">
        <v>4198</v>
      </c>
      <c r="C27" s="110" t="s">
        <v>449</v>
      </c>
      <c r="D27" s="110" t="s">
        <v>3905</v>
      </c>
      <c r="E27" s="110" t="s">
        <v>3906</v>
      </c>
      <c r="F27" s="113"/>
      <c r="G27" s="110" t="s">
        <v>441</v>
      </c>
      <c r="H27" s="110" t="s">
        <v>3685</v>
      </c>
      <c r="I27" s="110" t="s">
        <v>41</v>
      </c>
      <c r="J27" s="113"/>
      <c r="K27" s="110" t="s">
        <v>659</v>
      </c>
      <c r="L27" s="110" t="s">
        <v>489</v>
      </c>
      <c r="M27" s="110" t="s">
        <v>4199</v>
      </c>
      <c r="N27" s="110"/>
      <c r="O27" s="110"/>
      <c r="P27" s="110" t="s">
        <v>4200</v>
      </c>
      <c r="Q27" s="135"/>
    </row>
    <row r="28">
      <c r="A28" s="109">
        <v>8488.0</v>
      </c>
      <c r="B28" s="110" t="s">
        <v>4201</v>
      </c>
      <c r="C28" s="110" t="s">
        <v>449</v>
      </c>
      <c r="D28" s="110" t="s">
        <v>3913</v>
      </c>
      <c r="E28" s="110" t="s">
        <v>3914</v>
      </c>
      <c r="F28" s="113"/>
      <c r="G28" s="110" t="s">
        <v>441</v>
      </c>
      <c r="H28" s="110" t="s">
        <v>434</v>
      </c>
      <c r="I28" s="110" t="s">
        <v>41</v>
      </c>
      <c r="J28" s="113"/>
      <c r="K28" s="110" t="s">
        <v>643</v>
      </c>
      <c r="L28" s="110" t="s">
        <v>489</v>
      </c>
      <c r="M28" s="110" t="s">
        <v>4202</v>
      </c>
      <c r="N28" s="110"/>
      <c r="O28" s="110"/>
      <c r="P28" s="110" t="s">
        <v>4203</v>
      </c>
      <c r="Q28" s="135"/>
    </row>
    <row r="29">
      <c r="A29" s="109">
        <v>1060.0</v>
      </c>
      <c r="B29" s="110" t="s">
        <v>4204</v>
      </c>
      <c r="C29" s="110" t="s">
        <v>432</v>
      </c>
      <c r="D29" s="110" t="s">
        <v>3920</v>
      </c>
      <c r="E29" s="110" t="s">
        <v>3921</v>
      </c>
      <c r="F29" s="112" t="s">
        <v>441</v>
      </c>
      <c r="G29" s="110" t="s">
        <v>450</v>
      </c>
      <c r="H29" s="110" t="s">
        <v>4205</v>
      </c>
      <c r="I29" s="110" t="s">
        <v>850</v>
      </c>
      <c r="J29" s="113"/>
      <c r="K29" s="112" t="s">
        <v>1315</v>
      </c>
      <c r="L29" s="110" t="s">
        <v>4206</v>
      </c>
      <c r="M29" s="110" t="s">
        <v>4207</v>
      </c>
      <c r="N29" s="110"/>
      <c r="O29" s="110"/>
      <c r="P29" s="110" t="s">
        <v>4208</v>
      </c>
      <c r="Q29" s="135"/>
    </row>
    <row r="30">
      <c r="A30" s="109">
        <v>1073.0</v>
      </c>
      <c r="B30" s="110" t="s">
        <v>4209</v>
      </c>
      <c r="C30" s="110" t="s">
        <v>449</v>
      </c>
      <c r="D30" s="110" t="s">
        <v>3928</v>
      </c>
      <c r="E30" s="110" t="s">
        <v>3929</v>
      </c>
      <c r="F30" s="113"/>
      <c r="G30" s="110" t="s">
        <v>441</v>
      </c>
      <c r="H30" s="110" t="s">
        <v>4210</v>
      </c>
      <c r="I30" s="110" t="s">
        <v>41</v>
      </c>
      <c r="J30" s="113"/>
      <c r="K30" s="112" t="s">
        <v>476</v>
      </c>
      <c r="L30" s="111"/>
      <c r="M30" s="110" t="s">
        <v>4211</v>
      </c>
      <c r="N30" s="110"/>
      <c r="O30" s="110"/>
      <c r="P30" s="110" t="s">
        <v>4212</v>
      </c>
      <c r="Q30" s="135"/>
    </row>
    <row r="31">
      <c r="A31" s="109">
        <v>1079.0</v>
      </c>
      <c r="B31" s="110" t="s">
        <v>4213</v>
      </c>
      <c r="C31" s="110" t="s">
        <v>449</v>
      </c>
      <c r="D31" s="110" t="s">
        <v>3928</v>
      </c>
      <c r="E31" s="110" t="s">
        <v>3929</v>
      </c>
      <c r="F31" s="113"/>
      <c r="G31" s="110" t="s">
        <v>441</v>
      </c>
      <c r="H31" s="110" t="s">
        <v>526</v>
      </c>
      <c r="I31" s="110" t="s">
        <v>41</v>
      </c>
      <c r="J31" s="113"/>
      <c r="K31" s="110" t="s">
        <v>643</v>
      </c>
      <c r="L31" s="110" t="s">
        <v>459</v>
      </c>
      <c r="M31" s="110" t="s">
        <v>4214</v>
      </c>
      <c r="N31" s="110"/>
      <c r="O31" s="110"/>
      <c r="P31" s="110" t="s">
        <v>4215</v>
      </c>
      <c r="Q31" s="135"/>
    </row>
    <row r="32">
      <c r="A32" s="109">
        <v>1080.0</v>
      </c>
      <c r="B32" s="110" t="s">
        <v>4216</v>
      </c>
      <c r="C32" s="110" t="s">
        <v>449</v>
      </c>
      <c r="D32" s="110" t="s">
        <v>3928</v>
      </c>
      <c r="E32" s="110" t="s">
        <v>3929</v>
      </c>
      <c r="F32" s="113"/>
      <c r="G32" s="110" t="s">
        <v>441</v>
      </c>
      <c r="H32" s="110" t="s">
        <v>4217</v>
      </c>
      <c r="I32" s="110" t="s">
        <v>41</v>
      </c>
      <c r="J32" s="113"/>
      <c r="K32" s="110" t="s">
        <v>1731</v>
      </c>
      <c r="L32" s="110" t="s">
        <v>2984</v>
      </c>
      <c r="M32" s="110" t="s">
        <v>4218</v>
      </c>
      <c r="N32" s="110"/>
      <c r="O32" s="110"/>
      <c r="P32" s="110" t="s">
        <v>4219</v>
      </c>
      <c r="Q32" s="135"/>
    </row>
    <row r="33">
      <c r="A33" s="109">
        <v>9494.0</v>
      </c>
      <c r="B33" s="110" t="s">
        <v>4220</v>
      </c>
      <c r="C33" s="110" t="s">
        <v>432</v>
      </c>
      <c r="D33" s="110" t="s">
        <v>3928</v>
      </c>
      <c r="E33" s="110" t="s">
        <v>3929</v>
      </c>
      <c r="F33" s="113"/>
      <c r="G33" s="110" t="s">
        <v>433</v>
      </c>
      <c r="H33" s="110" t="s">
        <v>4221</v>
      </c>
      <c r="I33" s="110" t="s">
        <v>234</v>
      </c>
      <c r="J33" s="112" t="s">
        <v>4222</v>
      </c>
      <c r="K33" s="110" t="s">
        <v>4223</v>
      </c>
      <c r="L33" s="110" t="s">
        <v>4224</v>
      </c>
      <c r="M33" s="110" t="s">
        <v>4225</v>
      </c>
      <c r="N33" s="110"/>
      <c r="O33" s="110"/>
      <c r="P33" s="110" t="s">
        <v>4226</v>
      </c>
      <c r="Q33" s="135"/>
    </row>
    <row r="34">
      <c r="A34" s="109">
        <v>10491.0</v>
      </c>
      <c r="B34" s="110" t="s">
        <v>3962</v>
      </c>
      <c r="C34" s="110" t="s">
        <v>432</v>
      </c>
      <c r="D34" s="110" t="s">
        <v>3928</v>
      </c>
      <c r="E34" s="110" t="s">
        <v>3929</v>
      </c>
      <c r="F34" s="111"/>
      <c r="G34" s="110" t="s">
        <v>441</v>
      </c>
      <c r="H34" s="110" t="s">
        <v>434</v>
      </c>
      <c r="I34" s="110" t="s">
        <v>234</v>
      </c>
      <c r="J34" s="113"/>
      <c r="K34" s="110" t="s">
        <v>4227</v>
      </c>
      <c r="L34" s="110" t="s">
        <v>4228</v>
      </c>
      <c r="M34" s="110" t="s">
        <v>2406</v>
      </c>
      <c r="N34" s="110"/>
      <c r="O34" s="110"/>
      <c r="P34" s="110" t="s">
        <v>4229</v>
      </c>
      <c r="Q34" s="135"/>
    </row>
    <row r="35">
      <c r="A35" s="109">
        <v>9118.0</v>
      </c>
      <c r="B35" s="110" t="s">
        <v>4230</v>
      </c>
      <c r="C35" s="110" t="s">
        <v>432</v>
      </c>
      <c r="D35" s="110" t="s">
        <v>3974</v>
      </c>
      <c r="E35" s="110" t="s">
        <v>3975</v>
      </c>
      <c r="F35" s="113"/>
      <c r="G35" s="110" t="s">
        <v>450</v>
      </c>
      <c r="H35" s="110" t="s">
        <v>634</v>
      </c>
      <c r="I35" s="110" t="s">
        <v>18</v>
      </c>
      <c r="J35" s="113"/>
      <c r="K35" s="110" t="s">
        <v>4231</v>
      </c>
      <c r="L35" s="110" t="s">
        <v>4232</v>
      </c>
      <c r="M35" s="110" t="s">
        <v>4233</v>
      </c>
      <c r="N35" s="110"/>
      <c r="O35" s="110"/>
      <c r="P35" s="110" t="s">
        <v>4234</v>
      </c>
      <c r="Q35" s="135"/>
    </row>
    <row r="36">
      <c r="A36" s="109">
        <v>1092.0</v>
      </c>
      <c r="B36" s="110" t="s">
        <v>4235</v>
      </c>
      <c r="C36" s="110" t="s">
        <v>449</v>
      </c>
      <c r="D36" s="110" t="s">
        <v>698</v>
      </c>
      <c r="E36" s="110" t="s">
        <v>699</v>
      </c>
      <c r="F36" s="110" t="s">
        <v>433</v>
      </c>
      <c r="G36" s="110" t="s">
        <v>433</v>
      </c>
      <c r="H36" s="110" t="s">
        <v>3707</v>
      </c>
      <c r="I36" s="110" t="s">
        <v>41</v>
      </c>
      <c r="J36" s="113"/>
      <c r="K36" s="110" t="s">
        <v>635</v>
      </c>
      <c r="L36" s="110" t="s">
        <v>1736</v>
      </c>
      <c r="M36" s="110" t="s">
        <v>4236</v>
      </c>
      <c r="N36" s="110"/>
      <c r="O36" s="110"/>
      <c r="P36" s="110" t="s">
        <v>4237</v>
      </c>
      <c r="Q36" s="135"/>
    </row>
    <row r="37">
      <c r="A37" s="109">
        <v>1093.0</v>
      </c>
      <c r="B37" s="110" t="s">
        <v>4238</v>
      </c>
      <c r="C37" s="110" t="s">
        <v>449</v>
      </c>
      <c r="D37" s="110" t="s">
        <v>698</v>
      </c>
      <c r="E37" s="110" t="s">
        <v>699</v>
      </c>
      <c r="F37" s="113"/>
      <c r="G37" s="110" t="s">
        <v>450</v>
      </c>
      <c r="H37" s="110" t="s">
        <v>4205</v>
      </c>
      <c r="I37" s="110" t="s">
        <v>41</v>
      </c>
      <c r="J37" s="111"/>
      <c r="K37" s="110" t="s">
        <v>4239</v>
      </c>
      <c r="L37" s="110" t="s">
        <v>1876</v>
      </c>
      <c r="M37" s="110" t="s">
        <v>4240</v>
      </c>
      <c r="N37" s="110"/>
      <c r="O37" s="110"/>
      <c r="P37" s="110" t="s">
        <v>4241</v>
      </c>
      <c r="Q37" s="135"/>
    </row>
    <row r="38">
      <c r="A38" s="109">
        <v>1094.0</v>
      </c>
      <c r="B38" s="110" t="s">
        <v>4242</v>
      </c>
      <c r="C38" s="110" t="s">
        <v>432</v>
      </c>
      <c r="D38" s="110" t="s">
        <v>698</v>
      </c>
      <c r="E38" s="110" t="s">
        <v>699</v>
      </c>
      <c r="F38" s="112" t="s">
        <v>441</v>
      </c>
      <c r="G38" s="110" t="s">
        <v>433</v>
      </c>
      <c r="H38" s="110" t="s">
        <v>4243</v>
      </c>
      <c r="I38" s="110" t="s">
        <v>4244</v>
      </c>
      <c r="J38" s="113"/>
      <c r="K38" s="110" t="s">
        <v>635</v>
      </c>
      <c r="L38" s="110" t="s">
        <v>4245</v>
      </c>
      <c r="M38" s="110" t="s">
        <v>4246</v>
      </c>
      <c r="N38" s="110"/>
      <c r="O38" s="110"/>
      <c r="P38" s="110" t="s">
        <v>4247</v>
      </c>
      <c r="Q38" s="135"/>
    </row>
    <row r="39">
      <c r="A39" s="109">
        <v>1095.0</v>
      </c>
      <c r="B39" s="110" t="s">
        <v>4248</v>
      </c>
      <c r="C39" s="110" t="s">
        <v>432</v>
      </c>
      <c r="D39" s="110" t="s">
        <v>698</v>
      </c>
      <c r="E39" s="110" t="s">
        <v>699</v>
      </c>
      <c r="F39" s="113"/>
      <c r="G39" s="110" t="s">
        <v>441</v>
      </c>
      <c r="H39" s="110" t="s">
        <v>3707</v>
      </c>
      <c r="I39" s="110" t="s">
        <v>234</v>
      </c>
      <c r="J39" s="113"/>
      <c r="K39" s="110" t="s">
        <v>4249</v>
      </c>
      <c r="L39" s="110" t="s">
        <v>489</v>
      </c>
      <c r="M39" s="110" t="s">
        <v>4250</v>
      </c>
      <c r="N39" s="110"/>
      <c r="O39" s="110"/>
      <c r="P39" s="110" t="s">
        <v>4251</v>
      </c>
      <c r="Q39" s="135"/>
    </row>
    <row r="40">
      <c r="A40" s="109">
        <v>1100.0</v>
      </c>
      <c r="B40" s="110" t="s">
        <v>4252</v>
      </c>
      <c r="C40" s="110" t="s">
        <v>449</v>
      </c>
      <c r="D40" s="110" t="s">
        <v>698</v>
      </c>
      <c r="E40" s="110" t="s">
        <v>699</v>
      </c>
      <c r="F40" s="113"/>
      <c r="G40" s="110" t="s">
        <v>441</v>
      </c>
      <c r="H40" s="110" t="s">
        <v>2501</v>
      </c>
      <c r="I40" s="110" t="s">
        <v>41</v>
      </c>
      <c r="J40" s="113"/>
      <c r="K40" s="112" t="s">
        <v>542</v>
      </c>
      <c r="L40" s="110" t="s">
        <v>538</v>
      </c>
      <c r="M40" s="110" t="s">
        <v>4253</v>
      </c>
      <c r="N40" s="110"/>
      <c r="O40" s="110"/>
      <c r="P40" s="110" t="s">
        <v>4254</v>
      </c>
      <c r="Q40" s="135"/>
    </row>
    <row r="41">
      <c r="A41" s="109">
        <v>1813.0</v>
      </c>
      <c r="B41" s="110" t="s">
        <v>4255</v>
      </c>
      <c r="C41" s="110" t="s">
        <v>432</v>
      </c>
      <c r="D41" s="110" t="s">
        <v>698</v>
      </c>
      <c r="E41" s="110" t="s">
        <v>699</v>
      </c>
      <c r="F41" s="113"/>
      <c r="G41" s="110" t="s">
        <v>433</v>
      </c>
      <c r="H41" s="110" t="s">
        <v>4256</v>
      </c>
      <c r="I41" s="110" t="s">
        <v>435</v>
      </c>
      <c r="J41" s="113"/>
      <c r="K41" s="110" t="s">
        <v>547</v>
      </c>
      <c r="L41" s="110" t="s">
        <v>511</v>
      </c>
      <c r="M41" s="110" t="s">
        <v>4257</v>
      </c>
      <c r="N41" s="110"/>
      <c r="O41" s="110"/>
      <c r="P41" s="110" t="s">
        <v>4258</v>
      </c>
      <c r="Q41" s="135"/>
    </row>
    <row r="42">
      <c r="A42" s="109">
        <v>8774.0</v>
      </c>
      <c r="B42" s="110" t="s">
        <v>4259</v>
      </c>
      <c r="C42" s="110" t="s">
        <v>449</v>
      </c>
      <c r="D42" s="110" t="s">
        <v>698</v>
      </c>
      <c r="E42" s="110" t="s">
        <v>699</v>
      </c>
      <c r="F42" s="113"/>
      <c r="G42" s="110" t="s">
        <v>433</v>
      </c>
      <c r="H42" s="110" t="s">
        <v>4260</v>
      </c>
      <c r="I42" s="110" t="s">
        <v>41</v>
      </c>
      <c r="J42" s="113"/>
      <c r="K42" s="110" t="s">
        <v>4261</v>
      </c>
      <c r="L42" s="110" t="s">
        <v>4262</v>
      </c>
      <c r="M42" s="110" t="s">
        <v>4263</v>
      </c>
      <c r="N42" s="110"/>
      <c r="O42" s="110"/>
      <c r="P42" s="110" t="s">
        <v>4264</v>
      </c>
      <c r="Q42" s="135"/>
    </row>
    <row r="43">
      <c r="A43" s="109">
        <v>8788.0</v>
      </c>
      <c r="B43" s="110" t="s">
        <v>4265</v>
      </c>
      <c r="C43" s="110" t="s">
        <v>432</v>
      </c>
      <c r="D43" s="110" t="s">
        <v>698</v>
      </c>
      <c r="E43" s="110" t="s">
        <v>699</v>
      </c>
      <c r="F43" s="110" t="s">
        <v>433</v>
      </c>
      <c r="G43" s="110" t="s">
        <v>433</v>
      </c>
      <c r="H43" s="110" t="s">
        <v>634</v>
      </c>
      <c r="I43" s="110" t="s">
        <v>234</v>
      </c>
      <c r="J43" s="113"/>
      <c r="K43" s="110" t="s">
        <v>537</v>
      </c>
      <c r="L43" s="110" t="s">
        <v>459</v>
      </c>
      <c r="M43" s="110" t="s">
        <v>4266</v>
      </c>
      <c r="N43" s="110"/>
      <c r="O43" s="110"/>
      <c r="P43" s="110" t="s">
        <v>4267</v>
      </c>
      <c r="Q43" s="135"/>
    </row>
    <row r="44">
      <c r="A44" s="109">
        <v>8792.0</v>
      </c>
      <c r="B44" s="110" t="s">
        <v>4268</v>
      </c>
      <c r="C44" s="110" t="s">
        <v>432</v>
      </c>
      <c r="D44" s="110" t="s">
        <v>698</v>
      </c>
      <c r="E44" s="110" t="s">
        <v>699</v>
      </c>
      <c r="F44" s="113"/>
      <c r="G44" s="110" t="s">
        <v>450</v>
      </c>
      <c r="H44" s="111"/>
      <c r="I44" s="110" t="s">
        <v>234</v>
      </c>
      <c r="J44" s="113"/>
      <c r="K44" s="110" t="s">
        <v>450</v>
      </c>
      <c r="L44" s="112" t="s">
        <v>4269</v>
      </c>
      <c r="M44" s="110" t="s">
        <v>4270</v>
      </c>
      <c r="N44" s="110"/>
      <c r="O44" s="110"/>
      <c r="P44" s="110" t="s">
        <v>4271</v>
      </c>
      <c r="Q44" s="135"/>
    </row>
    <row r="45">
      <c r="A45" s="109">
        <v>8794.0</v>
      </c>
      <c r="B45" s="110" t="s">
        <v>4272</v>
      </c>
      <c r="C45" s="110" t="s">
        <v>432</v>
      </c>
      <c r="D45" s="110" t="s">
        <v>698</v>
      </c>
      <c r="E45" s="110" t="s">
        <v>699</v>
      </c>
      <c r="F45" s="113"/>
      <c r="G45" s="110" t="s">
        <v>433</v>
      </c>
      <c r="H45" s="110" t="s">
        <v>434</v>
      </c>
      <c r="I45" s="110" t="s">
        <v>18</v>
      </c>
      <c r="J45" s="113"/>
      <c r="K45" s="110" t="s">
        <v>4273</v>
      </c>
      <c r="L45" s="110" t="s">
        <v>511</v>
      </c>
      <c r="M45" s="110" t="s">
        <v>4274</v>
      </c>
      <c r="N45" s="110"/>
      <c r="O45" s="110"/>
      <c r="P45" s="110" t="s">
        <v>4275</v>
      </c>
      <c r="Q45" s="135"/>
    </row>
    <row r="46">
      <c r="A46" s="109">
        <v>9479.0</v>
      </c>
      <c r="B46" s="110" t="s">
        <v>4276</v>
      </c>
      <c r="C46" s="110" t="s">
        <v>432</v>
      </c>
      <c r="D46" s="110" t="s">
        <v>698</v>
      </c>
      <c r="E46" s="110" t="s">
        <v>699</v>
      </c>
      <c r="F46" s="113"/>
      <c r="G46" s="110" t="s">
        <v>433</v>
      </c>
      <c r="H46" s="110" t="s">
        <v>4277</v>
      </c>
      <c r="I46" s="110" t="s">
        <v>18</v>
      </c>
      <c r="J46" s="113"/>
      <c r="K46" s="111"/>
      <c r="L46" s="110" t="s">
        <v>511</v>
      </c>
      <c r="M46" s="110" t="s">
        <v>4278</v>
      </c>
      <c r="N46" s="110"/>
      <c r="O46" s="110"/>
      <c r="P46" s="110" t="s">
        <v>4279</v>
      </c>
      <c r="Q46" s="135"/>
    </row>
    <row r="47">
      <c r="A47" s="109">
        <v>9603.0</v>
      </c>
      <c r="B47" s="110" t="s">
        <v>4280</v>
      </c>
      <c r="C47" s="110" t="s">
        <v>432</v>
      </c>
      <c r="D47" s="110" t="s">
        <v>698</v>
      </c>
      <c r="E47" s="110" t="s">
        <v>699</v>
      </c>
      <c r="F47" s="113"/>
      <c r="G47" s="110" t="s">
        <v>441</v>
      </c>
      <c r="H47" s="110" t="s">
        <v>592</v>
      </c>
      <c r="I47" s="110" t="s">
        <v>18</v>
      </c>
      <c r="J47" s="111"/>
      <c r="K47" s="110" t="s">
        <v>4281</v>
      </c>
      <c r="L47" s="110" t="s">
        <v>660</v>
      </c>
      <c r="M47" s="110" t="s">
        <v>4282</v>
      </c>
      <c r="N47" s="110"/>
      <c r="O47" s="110"/>
      <c r="P47" s="110" t="s">
        <v>4283</v>
      </c>
      <c r="Q47" s="135"/>
    </row>
    <row r="48">
      <c r="A48" s="109">
        <v>9737.0</v>
      </c>
      <c r="B48" s="110" t="s">
        <v>4284</v>
      </c>
      <c r="C48" s="110" t="s">
        <v>432</v>
      </c>
      <c r="D48" s="110" t="s">
        <v>698</v>
      </c>
      <c r="E48" s="110" t="s">
        <v>699</v>
      </c>
      <c r="F48" s="113"/>
      <c r="G48" s="110" t="s">
        <v>441</v>
      </c>
      <c r="H48" s="110" t="s">
        <v>4285</v>
      </c>
      <c r="I48" s="110" t="s">
        <v>234</v>
      </c>
      <c r="J48" s="112" t="s">
        <v>4286</v>
      </c>
      <c r="K48" s="110" t="s">
        <v>4287</v>
      </c>
      <c r="L48" s="110" t="s">
        <v>465</v>
      </c>
      <c r="M48" s="110" t="s">
        <v>4288</v>
      </c>
      <c r="N48" s="110"/>
      <c r="O48" s="110"/>
      <c r="P48" s="110" t="s">
        <v>4289</v>
      </c>
      <c r="Q48" s="135"/>
    </row>
    <row r="49">
      <c r="A49" s="109">
        <v>9862.0</v>
      </c>
      <c r="B49" s="110" t="s">
        <v>4290</v>
      </c>
      <c r="C49" s="110" t="s">
        <v>432</v>
      </c>
      <c r="D49" s="110" t="s">
        <v>698</v>
      </c>
      <c r="E49" s="110" t="s">
        <v>699</v>
      </c>
      <c r="F49" s="113"/>
      <c r="G49" s="110" t="s">
        <v>441</v>
      </c>
      <c r="H49" s="110" t="s">
        <v>434</v>
      </c>
      <c r="I49" s="110" t="s">
        <v>234</v>
      </c>
      <c r="J49" s="113"/>
      <c r="K49" s="111"/>
      <c r="L49" s="110" t="s">
        <v>489</v>
      </c>
      <c r="M49" s="110" t="s">
        <v>4291</v>
      </c>
      <c r="N49" s="110"/>
      <c r="O49" s="110"/>
      <c r="P49" s="110" t="s">
        <v>4292</v>
      </c>
      <c r="Q49" s="135"/>
    </row>
    <row r="50">
      <c r="A50" s="109">
        <v>10162.0</v>
      </c>
      <c r="B50" s="110" t="s">
        <v>4293</v>
      </c>
      <c r="C50" s="110" t="s">
        <v>449</v>
      </c>
      <c r="D50" s="110" t="s">
        <v>698</v>
      </c>
      <c r="E50" s="110" t="s">
        <v>699</v>
      </c>
      <c r="F50" s="111"/>
      <c r="G50" s="110" t="s">
        <v>441</v>
      </c>
      <c r="H50" s="110" t="s">
        <v>4294</v>
      </c>
      <c r="I50" s="110" t="s">
        <v>45</v>
      </c>
      <c r="J50" s="113"/>
      <c r="K50" s="110" t="s">
        <v>4295</v>
      </c>
      <c r="L50" s="110" t="s">
        <v>1781</v>
      </c>
      <c r="M50" s="110" t="s">
        <v>4296</v>
      </c>
      <c r="N50" s="110"/>
      <c r="O50" s="110"/>
      <c r="P50" s="110" t="s">
        <v>4297</v>
      </c>
      <c r="Q50" s="135"/>
    </row>
    <row r="51">
      <c r="A51" s="109">
        <v>10441.0</v>
      </c>
      <c r="B51" s="110" t="s">
        <v>4298</v>
      </c>
      <c r="C51" s="110" t="s">
        <v>432</v>
      </c>
      <c r="D51" s="110" t="s">
        <v>698</v>
      </c>
      <c r="E51" s="110" t="s">
        <v>699</v>
      </c>
      <c r="F51" s="113"/>
      <c r="G51" s="110" t="s">
        <v>441</v>
      </c>
      <c r="H51" s="110" t="s">
        <v>4299</v>
      </c>
      <c r="I51" s="110" t="s">
        <v>18</v>
      </c>
      <c r="J51" s="113"/>
      <c r="K51" s="111"/>
      <c r="L51" s="110" t="s">
        <v>511</v>
      </c>
      <c r="M51" s="110" t="s">
        <v>4300</v>
      </c>
      <c r="N51" s="110"/>
      <c r="O51" s="110"/>
      <c r="P51" s="110" t="s">
        <v>4301</v>
      </c>
      <c r="Q51" s="135"/>
    </row>
    <row r="52">
      <c r="A52" s="109">
        <v>10443.0</v>
      </c>
      <c r="B52" s="110" t="s">
        <v>4302</v>
      </c>
      <c r="C52" s="110" t="s">
        <v>449</v>
      </c>
      <c r="D52" s="110" t="s">
        <v>698</v>
      </c>
      <c r="E52" s="110" t="s">
        <v>699</v>
      </c>
      <c r="F52" s="111"/>
      <c r="G52" s="110" t="s">
        <v>441</v>
      </c>
      <c r="H52" s="110" t="s">
        <v>658</v>
      </c>
      <c r="I52" s="110" t="s">
        <v>4303</v>
      </c>
      <c r="J52" s="113"/>
      <c r="K52" s="111"/>
      <c r="L52" s="110" t="s">
        <v>4304</v>
      </c>
      <c r="M52" s="110" t="s">
        <v>4305</v>
      </c>
      <c r="N52" s="110"/>
      <c r="O52" s="110"/>
      <c r="P52" s="110" t="s">
        <v>4306</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4307</v>
      </c>
    </row>
    <row r="2">
      <c r="A2" s="1">
        <v>1130.0</v>
      </c>
      <c r="B2" s="1" t="s">
        <v>4308</v>
      </c>
      <c r="C2" s="1" t="str">
        <f>IFERROR(__xludf.DUMMYFUNCTION("GOOGLETRANSLATE(B2)"),"Diagnosis V National Energy Plan 2008-2021")</f>
        <v>Diagnosis V National Energy Plan 2008-2021</v>
      </c>
      <c r="D2" s="1" t="s">
        <v>1093</v>
      </c>
      <c r="E2" s="1" t="s">
        <v>1094</v>
      </c>
      <c r="F2" s="1" t="s">
        <v>234</v>
      </c>
      <c r="G2" s="1"/>
      <c r="H2" s="1">
        <v>2008.0</v>
      </c>
      <c r="I2" s="1" t="s">
        <v>924</v>
      </c>
      <c r="J2" s="1" t="s">
        <v>4309</v>
      </c>
      <c r="K2" s="4" t="s">
        <v>4310</v>
      </c>
      <c r="L2" s="1" t="s">
        <v>4311</v>
      </c>
      <c r="N2" s="1" t="s">
        <v>23</v>
      </c>
    </row>
    <row r="3">
      <c r="A3" s="1">
        <v>1130.0</v>
      </c>
      <c r="B3" s="1" t="s">
        <v>4312</v>
      </c>
      <c r="C3" s="1" t="str">
        <f>IFERROR(__xludf.DUMMYFUNCTION("GOOGLETRANSLATE(B3)"),"National Energy Plan 2015-2030")</f>
        <v>National Energy Plan 2015-2030</v>
      </c>
      <c r="D3" s="1" t="s">
        <v>1093</v>
      </c>
      <c r="E3" s="1" t="s">
        <v>1094</v>
      </c>
      <c r="F3" s="1" t="s">
        <v>234</v>
      </c>
      <c r="G3" s="1"/>
      <c r="H3" s="1">
        <v>2015.0</v>
      </c>
      <c r="I3" s="1" t="s">
        <v>924</v>
      </c>
      <c r="J3" s="1" t="s">
        <v>4313</v>
      </c>
      <c r="K3" s="4" t="s">
        <v>4314</v>
      </c>
      <c r="L3" s="1" t="s">
        <v>4311</v>
      </c>
      <c r="N3" s="1" t="s">
        <v>23</v>
      </c>
    </row>
    <row r="4">
      <c r="A4" s="1">
        <v>8682.0</v>
      </c>
      <c r="B4" s="1" t="s">
        <v>4315</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4316</v>
      </c>
      <c r="K4" s="4" t="s">
        <v>4317</v>
      </c>
      <c r="L4" s="1" t="s">
        <v>4311</v>
      </c>
      <c r="N4" s="1" t="s">
        <v>23</v>
      </c>
    </row>
    <row r="5">
      <c r="A5" s="1">
        <v>8682.0</v>
      </c>
      <c r="B5" s="1" t="s">
        <v>4318</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4319</v>
      </c>
      <c r="K5" s="4" t="s">
        <v>4320</v>
      </c>
      <c r="L5" s="1" t="s">
        <v>4311</v>
      </c>
      <c r="N5" s="1" t="s">
        <v>23</v>
      </c>
    </row>
    <row r="6">
      <c r="A6" s="7">
        <v>8682.0</v>
      </c>
      <c r="B6" s="7" t="s">
        <v>4321</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4322</v>
      </c>
      <c r="K6" s="16" t="s">
        <v>4323</v>
      </c>
      <c r="L6" s="7" t="s">
        <v>4311</v>
      </c>
      <c r="M6" s="17"/>
      <c r="N6" s="7" t="s">
        <v>23</v>
      </c>
      <c r="O6" s="7" t="s">
        <v>4324</v>
      </c>
      <c r="P6" s="17"/>
      <c r="Q6" s="17"/>
      <c r="R6" s="17"/>
      <c r="S6" s="17"/>
      <c r="T6" s="17"/>
      <c r="U6" s="17"/>
      <c r="V6" s="17"/>
      <c r="W6" s="17"/>
      <c r="X6" s="17"/>
      <c r="Y6" s="17"/>
      <c r="Z6" s="17"/>
      <c r="AA6" s="17"/>
      <c r="AB6" s="17"/>
    </row>
    <row r="7">
      <c r="A7" s="1">
        <v>8696.0</v>
      </c>
      <c r="B7" s="1" t="s">
        <v>4325</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4326</v>
      </c>
      <c r="K7" s="4" t="s">
        <v>4327</v>
      </c>
      <c r="L7" s="1" t="s">
        <v>4311</v>
      </c>
      <c r="N7" s="1" t="s">
        <v>23</v>
      </c>
    </row>
    <row r="8">
      <c r="A8" s="1">
        <v>8696.0</v>
      </c>
      <c r="B8" s="1" t="s">
        <v>4325</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4328</v>
      </c>
      <c r="K8" s="4" t="s">
        <v>4329</v>
      </c>
      <c r="L8" s="1" t="s">
        <v>4311</v>
      </c>
      <c r="N8" s="1" t="s">
        <v>92</v>
      </c>
      <c r="O8" s="1" t="s">
        <v>4330</v>
      </c>
    </row>
    <row r="9">
      <c r="A9" s="1">
        <v>8696.0</v>
      </c>
      <c r="B9" s="1" t="s">
        <v>4331</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4332</v>
      </c>
      <c r="K9" s="4" t="s">
        <v>4333</v>
      </c>
      <c r="L9" s="1" t="s">
        <v>4311</v>
      </c>
      <c r="N9" s="1" t="s">
        <v>92</v>
      </c>
    </row>
    <row r="10" ht="15.0" customHeight="1">
      <c r="A10" s="198">
        <v>8696.0</v>
      </c>
      <c r="B10" s="198" t="s">
        <v>4334</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4335</v>
      </c>
      <c r="K10" s="199" t="s">
        <v>4336</v>
      </c>
      <c r="L10" s="198" t="s">
        <v>4311</v>
      </c>
      <c r="M10" s="200"/>
      <c r="N10" s="198" t="s">
        <v>92</v>
      </c>
      <c r="O10" s="200"/>
      <c r="P10" s="200"/>
      <c r="Q10" s="200"/>
      <c r="R10" s="200"/>
      <c r="S10" s="200"/>
      <c r="T10" s="200"/>
      <c r="U10" s="200"/>
      <c r="V10" s="200"/>
      <c r="W10" s="200"/>
      <c r="X10" s="200"/>
      <c r="Y10" s="200"/>
      <c r="Z10" s="200"/>
      <c r="AA10" s="200"/>
      <c r="AB10" s="200"/>
    </row>
    <row r="11">
      <c r="A11" s="1">
        <v>9326.0</v>
      </c>
      <c r="B11" s="1" t="s">
        <v>4337</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4338</v>
      </c>
      <c r="K11" s="4" t="s">
        <v>4339</v>
      </c>
      <c r="L11" s="1" t="s">
        <v>4311</v>
      </c>
      <c r="N11" s="1" t="s">
        <v>23</v>
      </c>
    </row>
    <row r="12">
      <c r="A12" s="1">
        <v>9326.0</v>
      </c>
      <c r="C12" s="1" t="str">
        <f>IFERROR(__xludf.DUMMYFUNCTION("GOOGLETRANSLATE(B12)"),"#VALUE!")</f>
        <v>#VALUE!</v>
      </c>
      <c r="D12" s="1" t="s">
        <v>1093</v>
      </c>
      <c r="E12" s="1" t="s">
        <v>1094</v>
      </c>
      <c r="F12" s="6"/>
      <c r="G12" s="6"/>
      <c r="J12" s="1" t="s">
        <v>4340</v>
      </c>
      <c r="K12" s="4" t="s">
        <v>4341</v>
      </c>
      <c r="L12" s="1" t="s">
        <v>4311</v>
      </c>
      <c r="N12" s="1" t="s">
        <v>4342</v>
      </c>
      <c r="O12" s="1" t="s">
        <v>4343</v>
      </c>
    </row>
    <row r="13">
      <c r="A13" s="1">
        <v>9412.0</v>
      </c>
      <c r="B13" s="1" t="s">
        <v>4344</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4345</v>
      </c>
      <c r="K13" s="4" t="s">
        <v>4346</v>
      </c>
      <c r="L13" s="1" t="s">
        <v>4311</v>
      </c>
      <c r="N13" s="1" t="s">
        <v>4342</v>
      </c>
    </row>
    <row r="14">
      <c r="A14" s="1">
        <v>9412.0</v>
      </c>
      <c r="B14" s="1" t="s">
        <v>4347</v>
      </c>
      <c r="C14" s="1" t="str">
        <f>IFERROR(__xludf.DUMMYFUNCTION("GOOGLETRANSLATE(B14)"),"Summary of the National Decarbonisation Plan")</f>
        <v>Summary of the National Decarbonisation Plan</v>
      </c>
      <c r="D14" s="1" t="s">
        <v>1093</v>
      </c>
      <c r="E14" s="1" t="s">
        <v>1094</v>
      </c>
      <c r="F14" s="1" t="s">
        <v>1532</v>
      </c>
      <c r="G14" s="1"/>
      <c r="H14" s="1">
        <v>2018.0</v>
      </c>
      <c r="I14" s="1" t="s">
        <v>24</v>
      </c>
      <c r="J14" s="1" t="s">
        <v>4348</v>
      </c>
      <c r="K14" s="4" t="s">
        <v>4349</v>
      </c>
      <c r="L14" s="1" t="s">
        <v>4311</v>
      </c>
      <c r="N14" s="1" t="s">
        <v>92</v>
      </c>
      <c r="O14" s="1" t="s">
        <v>4350</v>
      </c>
    </row>
    <row r="15">
      <c r="A15" s="1">
        <v>10135.0</v>
      </c>
      <c r="B15" s="1" t="s">
        <v>4351</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3819</v>
      </c>
      <c r="G15" s="1"/>
      <c r="H15" s="1">
        <v>2018.0</v>
      </c>
      <c r="I15" s="1" t="s">
        <v>924</v>
      </c>
      <c r="J15" s="1" t="s">
        <v>4352</v>
      </c>
      <c r="K15" s="4" t="s">
        <v>4353</v>
      </c>
      <c r="L15" s="1" t="s">
        <v>4311</v>
      </c>
      <c r="N15" s="1" t="s">
        <v>23</v>
      </c>
    </row>
    <row r="16">
      <c r="A16" s="1">
        <v>10135.0</v>
      </c>
      <c r="B16" s="1" t="s">
        <v>4354</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4355</v>
      </c>
      <c r="K16" s="4" t="s">
        <v>4356</v>
      </c>
      <c r="L16" s="1" t="s">
        <v>4311</v>
      </c>
      <c r="N16" s="1" t="s">
        <v>92</v>
      </c>
    </row>
    <row r="17">
      <c r="A17" s="1">
        <v>4791.0</v>
      </c>
      <c r="B17" s="1" t="s">
        <v>4357</v>
      </c>
      <c r="C17" s="1" t="str">
        <f>IFERROR(__xludf.DUMMYFUNCTION("GOOGLETRANSLATE(B17)"),"Decision to declare the Law on Transport Biofuels")</f>
        <v>Decision to declare the Law on Transport Biofuels</v>
      </c>
      <c r="D17" s="1" t="s">
        <v>4358</v>
      </c>
      <c r="E17" s="1" t="s">
        <v>4359</v>
      </c>
      <c r="F17" s="1" t="s">
        <v>272</v>
      </c>
      <c r="G17" s="1"/>
      <c r="H17" s="1">
        <v>2009.0</v>
      </c>
      <c r="I17" s="1" t="s">
        <v>4360</v>
      </c>
      <c r="J17" s="1" t="s">
        <v>4361</v>
      </c>
      <c r="K17" s="4" t="s">
        <v>4362</v>
      </c>
      <c r="L17" s="1" t="s">
        <v>4311</v>
      </c>
      <c r="N17" s="1" t="s">
        <v>37</v>
      </c>
    </row>
    <row r="18">
      <c r="A18" s="1">
        <v>4791.0</v>
      </c>
      <c r="B18" s="1" t="s">
        <v>4363</v>
      </c>
      <c r="C18" s="1" t="s">
        <v>4364</v>
      </c>
      <c r="D18" s="1" t="s">
        <v>4358</v>
      </c>
      <c r="E18" s="1" t="s">
        <v>4359</v>
      </c>
      <c r="F18" s="1" t="s">
        <v>41</v>
      </c>
      <c r="G18" s="1"/>
      <c r="H18" s="1">
        <v>2009.0</v>
      </c>
      <c r="I18" s="1" t="s">
        <v>4360</v>
      </c>
      <c r="J18" s="1" t="s">
        <v>4365</v>
      </c>
      <c r="K18" s="4" t="s">
        <v>4366</v>
      </c>
      <c r="L18" s="1" t="s">
        <v>4311</v>
      </c>
      <c r="N18" s="1" t="s">
        <v>839</v>
      </c>
    </row>
    <row r="19">
      <c r="A19" s="1">
        <v>9496.0</v>
      </c>
      <c r="B19" s="1" t="s">
        <v>4367</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4358</v>
      </c>
      <c r="E19" s="1" t="s">
        <v>4359</v>
      </c>
      <c r="F19" s="1" t="s">
        <v>234</v>
      </c>
      <c r="G19" s="1"/>
      <c r="H19" s="1">
        <v>2019.0</v>
      </c>
      <c r="I19" s="1" t="s">
        <v>24</v>
      </c>
      <c r="J19" s="1" t="s">
        <v>4368</v>
      </c>
      <c r="K19" s="4" t="s">
        <v>4369</v>
      </c>
      <c r="L19" s="1" t="s">
        <v>4311</v>
      </c>
      <c r="N19" s="1" t="s">
        <v>37</v>
      </c>
    </row>
    <row r="20">
      <c r="A20" s="1">
        <v>9496.0</v>
      </c>
      <c r="B20" s="1" t="s">
        <v>4370</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4358</v>
      </c>
      <c r="E20" s="1" t="s">
        <v>4359</v>
      </c>
      <c r="F20" s="1" t="s">
        <v>234</v>
      </c>
      <c r="G20" s="1"/>
      <c r="H20" s="1">
        <v>2019.0</v>
      </c>
      <c r="I20" s="1" t="s">
        <v>4360</v>
      </c>
      <c r="J20" s="1" t="s">
        <v>4371</v>
      </c>
      <c r="K20" s="4" t="s">
        <v>4372</v>
      </c>
      <c r="L20" s="1" t="s">
        <v>4311</v>
      </c>
      <c r="N20" s="1" t="s">
        <v>23</v>
      </c>
    </row>
    <row r="21">
      <c r="A21" s="1">
        <v>10492.0</v>
      </c>
      <c r="B21" s="1" t="s">
        <v>4373</v>
      </c>
      <c r="C21" s="1" t="str">
        <f>IFERROR(__xludf.DUMMYFUNCTION("GOOGLETRANSLATE(B21)"),"Recovery and resilience plan for Croatia")</f>
        <v>Recovery and resilience plan for Croatia</v>
      </c>
      <c r="D21" s="1" t="s">
        <v>4358</v>
      </c>
      <c r="E21" s="1" t="s">
        <v>4359</v>
      </c>
      <c r="F21" s="1" t="s">
        <v>234</v>
      </c>
      <c r="G21" s="1"/>
      <c r="H21" s="1">
        <v>2019.0</v>
      </c>
      <c r="I21" s="1" t="s">
        <v>24</v>
      </c>
      <c r="J21" s="4" t="s">
        <v>4374</v>
      </c>
      <c r="K21" s="4" t="s">
        <v>4375</v>
      </c>
      <c r="L21" s="1" t="s">
        <v>4311</v>
      </c>
      <c r="N21" s="1" t="s">
        <v>37</v>
      </c>
    </row>
    <row r="22">
      <c r="A22" s="1">
        <v>10492.0</v>
      </c>
      <c r="B22" s="1" t="s">
        <v>4376</v>
      </c>
      <c r="C22" s="1" t="s">
        <v>4377</v>
      </c>
      <c r="D22" s="1" t="s">
        <v>4358</v>
      </c>
      <c r="E22" s="1" t="s">
        <v>4359</v>
      </c>
      <c r="F22" s="1" t="s">
        <v>234</v>
      </c>
      <c r="G22" s="1"/>
      <c r="H22" s="1">
        <v>2021.0</v>
      </c>
      <c r="I22" s="1" t="s">
        <v>4360</v>
      </c>
      <c r="J22" s="1" t="s">
        <v>4378</v>
      </c>
      <c r="K22" s="4" t="s">
        <v>4379</v>
      </c>
      <c r="L22" s="1" t="s">
        <v>4311</v>
      </c>
      <c r="N22" s="1" t="s">
        <v>92</v>
      </c>
    </row>
    <row r="23">
      <c r="A23" s="1">
        <v>10492.0</v>
      </c>
      <c r="B23" s="1" t="s">
        <v>4380</v>
      </c>
      <c r="C23" s="1" t="str">
        <f>IFERROR(__xludf.DUMMYFUNCTION("GOOGLETRANSLATE(B23)"),"Recovery plan")</f>
        <v>Recovery plan</v>
      </c>
      <c r="D23" s="1" t="s">
        <v>4358</v>
      </c>
      <c r="E23" s="1" t="s">
        <v>4359</v>
      </c>
      <c r="F23" s="1" t="s">
        <v>234</v>
      </c>
      <c r="G23" s="1"/>
      <c r="H23" s="1">
        <v>2021.0</v>
      </c>
      <c r="I23" s="1" t="s">
        <v>4360</v>
      </c>
      <c r="J23" s="1" t="s">
        <v>4381</v>
      </c>
      <c r="K23" s="4" t="s">
        <v>4382</v>
      </c>
      <c r="L23" s="1" t="s">
        <v>4311</v>
      </c>
      <c r="N23" s="1" t="s">
        <v>92</v>
      </c>
    </row>
    <row r="24">
      <c r="A24" s="1">
        <v>10492.0</v>
      </c>
      <c r="B24" s="1" t="s">
        <v>4383</v>
      </c>
      <c r="C24" s="1" t="str">
        <f>IFERROR(__xludf.DUMMYFUNCTION("GOOGLETRANSLATE(B24)"),"Factsheet: Croatia’s recovery and resilience plan")</f>
        <v>Factsheet: Croatia’s recovery and resilience plan</v>
      </c>
      <c r="D24" s="1" t="s">
        <v>4358</v>
      </c>
      <c r="E24" s="1" t="s">
        <v>4359</v>
      </c>
      <c r="F24" s="1" t="s">
        <v>1532</v>
      </c>
      <c r="G24" s="1"/>
      <c r="H24" s="1">
        <v>2021.0</v>
      </c>
      <c r="I24" s="1" t="s">
        <v>24</v>
      </c>
      <c r="J24" s="1" t="s">
        <v>4384</v>
      </c>
      <c r="K24" s="4" t="s">
        <v>4385</v>
      </c>
      <c r="L24" s="1" t="s">
        <v>4311</v>
      </c>
      <c r="N24" s="1" t="s">
        <v>92</v>
      </c>
    </row>
    <row r="25">
      <c r="A25" s="1">
        <v>10492.0</v>
      </c>
      <c r="B25" s="1" t="s">
        <v>4386</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4358</v>
      </c>
      <c r="E25" s="1" t="s">
        <v>4359</v>
      </c>
      <c r="F25" s="1" t="s">
        <v>972</v>
      </c>
      <c r="G25" s="1"/>
      <c r="H25" s="1">
        <v>2021.0</v>
      </c>
      <c r="I25" s="1" t="s">
        <v>24</v>
      </c>
      <c r="J25" s="4" t="s">
        <v>4387</v>
      </c>
      <c r="K25" s="4" t="s">
        <v>4388</v>
      </c>
      <c r="L25" s="1" t="s">
        <v>4311</v>
      </c>
      <c r="N25" s="1" t="s">
        <v>92</v>
      </c>
    </row>
    <row r="26">
      <c r="A26" s="1">
        <v>1137.0</v>
      </c>
      <c r="B26" s="1" t="s">
        <v>4389</v>
      </c>
      <c r="C26" s="1" t="str">
        <f>IFERROR(__xludf.DUMMYFUNCTION("GOOGLETRANSLATE(B26)"),"Decree Law No. 170 of the Civil Defense Measures System")</f>
        <v>Decree Law No. 170 of the Civil Defense Measures System</v>
      </c>
      <c r="D26" s="1" t="s">
        <v>4390</v>
      </c>
      <c r="E26" s="1" t="s">
        <v>4391</v>
      </c>
      <c r="F26" s="1" t="s">
        <v>217</v>
      </c>
      <c r="G26" s="1"/>
      <c r="H26" s="1">
        <v>1997.0</v>
      </c>
      <c r="I26" s="1" t="s">
        <v>924</v>
      </c>
      <c r="J26" s="1" t="s">
        <v>4392</v>
      </c>
      <c r="K26" s="4" t="s">
        <v>4393</v>
      </c>
      <c r="L26" s="1" t="s">
        <v>4311</v>
      </c>
      <c r="N26" s="1" t="s">
        <v>326</v>
      </c>
    </row>
    <row r="27">
      <c r="A27" s="1">
        <v>1137.0</v>
      </c>
      <c r="B27" s="1" t="s">
        <v>4389</v>
      </c>
      <c r="C27" s="1" t="str">
        <f>IFERROR(__xludf.DUMMYFUNCTION("GOOGLETRANSLATE(B27)"),"Decree Law No. 170 of the Civil Defense Measures System")</f>
        <v>Decree Law No. 170 of the Civil Defense Measures System</v>
      </c>
      <c r="D27" s="1" t="s">
        <v>4390</v>
      </c>
      <c r="E27" s="1" t="s">
        <v>4391</v>
      </c>
      <c r="F27" s="1" t="s">
        <v>217</v>
      </c>
      <c r="G27" s="1"/>
      <c r="H27" s="1">
        <v>1997.0</v>
      </c>
      <c r="I27" s="1" t="s">
        <v>924</v>
      </c>
      <c r="J27" s="1" t="s">
        <v>4394</v>
      </c>
      <c r="K27" s="4" t="s">
        <v>4395</v>
      </c>
      <c r="L27" s="1" t="s">
        <v>4311</v>
      </c>
      <c r="N27" s="1" t="s">
        <v>37</v>
      </c>
      <c r="O27" s="1" t="s">
        <v>4396</v>
      </c>
    </row>
    <row r="28">
      <c r="A28" s="1">
        <v>9209.0</v>
      </c>
      <c r="B28" s="1" t="s">
        <v>4397</v>
      </c>
      <c r="C28" s="1" t="str">
        <f>IFERROR(__xludf.DUMMYFUNCTION("GOOGLETRANSLATE(B28)"),"Confrontation to climate change in the Republic of Cuba - Life task")</f>
        <v>Confrontation to climate change in the Republic of Cuba - Life task</v>
      </c>
      <c r="D28" s="1" t="s">
        <v>4390</v>
      </c>
      <c r="E28" s="1" t="s">
        <v>4391</v>
      </c>
      <c r="F28" s="1" t="s">
        <v>234</v>
      </c>
      <c r="G28" s="1"/>
      <c r="H28" s="1">
        <v>2017.0</v>
      </c>
      <c r="I28" s="1" t="s">
        <v>924</v>
      </c>
      <c r="J28" s="1" t="s">
        <v>4398</v>
      </c>
      <c r="K28" s="4" t="s">
        <v>4399</v>
      </c>
      <c r="L28" s="1" t="s">
        <v>4311</v>
      </c>
      <c r="N28" s="1" t="s">
        <v>23</v>
      </c>
    </row>
    <row r="29">
      <c r="A29" s="1">
        <v>9209.0</v>
      </c>
      <c r="B29" s="1" t="s">
        <v>4400</v>
      </c>
      <c r="C29" s="1" t="str">
        <f>IFERROR(__xludf.DUMMYFUNCTION("GOOGLETRANSLATE(B29)"),"Life task")</f>
        <v>Life task</v>
      </c>
      <c r="D29" s="1" t="s">
        <v>4390</v>
      </c>
      <c r="E29" s="1" t="s">
        <v>4391</v>
      </c>
      <c r="F29" s="1" t="s">
        <v>1532</v>
      </c>
      <c r="G29" s="1"/>
      <c r="H29" s="1">
        <v>2017.0</v>
      </c>
      <c r="I29" s="1" t="s">
        <v>924</v>
      </c>
      <c r="J29" s="1" t="s">
        <v>4401</v>
      </c>
      <c r="K29" s="4" t="s">
        <v>4402</v>
      </c>
      <c r="L29" s="1" t="s">
        <v>4311</v>
      </c>
      <c r="N29" s="1" t="s">
        <v>326</v>
      </c>
    </row>
    <row r="30">
      <c r="A30" s="1">
        <v>10494.0</v>
      </c>
      <c r="B30" s="1" t="s">
        <v>4403</v>
      </c>
      <c r="C30" s="1" t="str">
        <f>IFERROR(__xludf.DUMMYFUNCTION("GOOGLETRANSLATE(B30)"),"Cyprus’ recovery and resilience plan
")</f>
        <v>Cyprus’ recovery and resilience plan
</v>
      </c>
      <c r="D30" s="1" t="s">
        <v>4404</v>
      </c>
      <c r="E30" s="1" t="s">
        <v>4405</v>
      </c>
      <c r="F30" s="1" t="s">
        <v>234</v>
      </c>
      <c r="G30" s="1"/>
      <c r="H30" s="1">
        <v>2021.0</v>
      </c>
      <c r="I30" s="1" t="s">
        <v>24</v>
      </c>
      <c r="J30" s="4" t="s">
        <v>4406</v>
      </c>
      <c r="K30" s="4" t="s">
        <v>4407</v>
      </c>
      <c r="L30" s="1" t="s">
        <v>4311</v>
      </c>
      <c r="N30" s="1" t="s">
        <v>92</v>
      </c>
    </row>
    <row r="31">
      <c r="A31" s="1">
        <v>10494.0</v>
      </c>
      <c r="B31" s="1" t="s">
        <v>4408</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4404</v>
      </c>
      <c r="E31" s="1" t="s">
        <v>4405</v>
      </c>
      <c r="F31" s="1" t="s">
        <v>272</v>
      </c>
      <c r="G31" s="1"/>
      <c r="H31" s="1">
        <v>2021.0</v>
      </c>
      <c r="I31" s="1" t="s">
        <v>24</v>
      </c>
      <c r="J31" s="4" t="s">
        <v>4409</v>
      </c>
      <c r="K31" s="4" t="s">
        <v>4410</v>
      </c>
      <c r="L31" s="1" t="s">
        <v>4311</v>
      </c>
      <c r="N31" s="1" t="s">
        <v>92</v>
      </c>
    </row>
    <row r="32">
      <c r="A32" s="1">
        <v>10494.0</v>
      </c>
      <c r="B32" s="1" t="s">
        <v>4411</v>
      </c>
      <c r="C32" s="1" t="str">
        <f>IFERROR(__xludf.DUMMYFUNCTION("GOOGLETRANSLATE(B32)"),"Factsheet: Cyprus’s recovery and resilience plan
")</f>
        <v>Factsheet: Cyprus’s recovery and resilience plan
</v>
      </c>
      <c r="D32" s="1" t="s">
        <v>4404</v>
      </c>
      <c r="E32" s="1" t="s">
        <v>4405</v>
      </c>
      <c r="F32" s="1" t="s">
        <v>1532</v>
      </c>
      <c r="G32" s="1"/>
      <c r="H32" s="1">
        <v>2021.0</v>
      </c>
      <c r="I32" s="1" t="s">
        <v>24</v>
      </c>
      <c r="J32" s="1" t="s">
        <v>4412</v>
      </c>
      <c r="K32" s="4" t="s">
        <v>4413</v>
      </c>
      <c r="L32" s="1" t="s">
        <v>4311</v>
      </c>
      <c r="N32" s="1" t="s">
        <v>92</v>
      </c>
    </row>
    <row r="33">
      <c r="A33" s="1">
        <v>10494.0</v>
      </c>
      <c r="B33" s="1" t="s">
        <v>4414</v>
      </c>
      <c r="C33" s="18" t="s">
        <v>4415</v>
      </c>
      <c r="D33" s="1" t="s">
        <v>4404</v>
      </c>
      <c r="E33" s="1" t="s">
        <v>4405</v>
      </c>
      <c r="F33" s="1" t="s">
        <v>234</v>
      </c>
      <c r="G33" s="1"/>
      <c r="H33" s="1">
        <v>2021.0</v>
      </c>
      <c r="I33" s="1" t="s">
        <v>1552</v>
      </c>
      <c r="J33" s="4" t="s">
        <v>4416</v>
      </c>
      <c r="K33" s="4" t="s">
        <v>4417</v>
      </c>
      <c r="L33" s="1" t="s">
        <v>4311</v>
      </c>
      <c r="N33" s="1" t="s">
        <v>326</v>
      </c>
    </row>
    <row r="34">
      <c r="A34" s="1">
        <v>10494.0</v>
      </c>
      <c r="B34" s="1" t="s">
        <v>4418</v>
      </c>
      <c r="C34" s="1" t="str">
        <f>IFERROR(__xludf.DUMMYFUNCTION("GOOGLETRANSLATE(B34)"),"Cyprus Recovery and Resilience Plan")</f>
        <v>Cyprus Recovery and Resilience Plan</v>
      </c>
      <c r="D34" s="1" t="s">
        <v>4404</v>
      </c>
      <c r="E34" s="1" t="s">
        <v>4405</v>
      </c>
      <c r="F34" s="1" t="s">
        <v>234</v>
      </c>
      <c r="G34" s="1"/>
      <c r="H34" s="1">
        <v>2021.0</v>
      </c>
      <c r="I34" s="1" t="s">
        <v>24</v>
      </c>
      <c r="J34" s="4" t="s">
        <v>4419</v>
      </c>
      <c r="K34" s="4" t="s">
        <v>4420</v>
      </c>
      <c r="L34" s="1" t="s">
        <v>4311</v>
      </c>
      <c r="N34" s="1" t="s">
        <v>37</v>
      </c>
      <c r="O34" s="1" t="s">
        <v>4421</v>
      </c>
    </row>
    <row r="35">
      <c r="A35" s="1">
        <v>1142.0</v>
      </c>
      <c r="B35" s="1" t="s">
        <v>4422</v>
      </c>
      <c r="C35" s="1" t="str">
        <f>IFERROR(__xludf.DUMMYFUNCTION("GOOGLETRANSLATE(B35)"),"State Environmental Policy of the Czech Republic 2012–2020, as amended by the 2016 update")</f>
        <v>State Environmental Policy of the Czech Republic 2012–2020, as amended by the 2016 update</v>
      </c>
      <c r="D35" s="1" t="s">
        <v>4423</v>
      </c>
      <c r="E35" s="1" t="s">
        <v>4424</v>
      </c>
      <c r="F35" s="1" t="s">
        <v>407</v>
      </c>
      <c r="G35" s="1"/>
      <c r="H35" s="1">
        <v>2016.0</v>
      </c>
      <c r="I35" s="1" t="s">
        <v>4425</v>
      </c>
      <c r="J35" s="1" t="s">
        <v>4426</v>
      </c>
      <c r="K35" s="4" t="s">
        <v>4427</v>
      </c>
      <c r="L35" s="1" t="s">
        <v>4311</v>
      </c>
      <c r="N35" s="1" t="s">
        <v>23</v>
      </c>
    </row>
    <row r="36">
      <c r="A36" s="1">
        <v>1142.0</v>
      </c>
      <c r="B36" s="1" t="s">
        <v>4428</v>
      </c>
      <c r="C36" s="1" t="str">
        <f>IFERROR(__xludf.DUMMYFUNCTION("GOOGLETRANSLATE(B36)"),"State Environmental Policy of the Czech Republic 2012–2020, as amended in 2016 ")</f>
        <v>State Environmental Policy of the Czech Republic 2012–2020, as amended in 2016 </v>
      </c>
      <c r="D36" s="1" t="s">
        <v>4423</v>
      </c>
      <c r="E36" s="1" t="s">
        <v>4424</v>
      </c>
      <c r="F36" s="1" t="s">
        <v>407</v>
      </c>
      <c r="G36" s="1"/>
      <c r="H36" s="1">
        <v>2016.0</v>
      </c>
      <c r="I36" s="1" t="s">
        <v>4425</v>
      </c>
      <c r="J36" s="1" t="s">
        <v>4429</v>
      </c>
      <c r="K36" s="4" t="s">
        <v>4430</v>
      </c>
      <c r="L36" s="1" t="s">
        <v>4311</v>
      </c>
      <c r="N36" s="1" t="s">
        <v>23</v>
      </c>
    </row>
    <row r="37">
      <c r="A37" s="1">
        <v>8657.0</v>
      </c>
      <c r="B37" s="1" t="s">
        <v>4431</v>
      </c>
      <c r="C37" s="1" t="str">
        <f>IFERROR(__xludf.DUMMYFUNCTION("GOOGLETRANSLATE(B37)"),"Climate protection policy")</f>
        <v>Climate protection policy</v>
      </c>
      <c r="D37" s="1" t="s">
        <v>4423</v>
      </c>
      <c r="E37" s="1" t="s">
        <v>4424</v>
      </c>
      <c r="F37" s="1" t="s">
        <v>407</v>
      </c>
      <c r="G37" s="1"/>
      <c r="H37" s="1">
        <v>2017.0</v>
      </c>
      <c r="I37" s="1" t="s">
        <v>4425</v>
      </c>
      <c r="J37" s="1" t="s">
        <v>4432</v>
      </c>
      <c r="K37" s="4" t="s">
        <v>4433</v>
      </c>
      <c r="L37" s="1" t="s">
        <v>4311</v>
      </c>
      <c r="N37" s="1" t="s">
        <v>23</v>
      </c>
    </row>
    <row r="38">
      <c r="A38" s="1">
        <v>8657.0</v>
      </c>
      <c r="B38" s="1" t="s">
        <v>4434</v>
      </c>
      <c r="C38" s="1" t="str">
        <f>IFERROR(__xludf.DUMMYFUNCTION("GOOGLETRANSLATE(B38)"),"CLIMATE PROTECTION POLICY OF THE CZECH REPUBLIC, Executive summary ")</f>
        <v>CLIMATE PROTECTION POLICY OF THE CZECH REPUBLIC, Executive summary </v>
      </c>
      <c r="D38" s="1" t="s">
        <v>4423</v>
      </c>
      <c r="E38" s="1" t="s">
        <v>4424</v>
      </c>
      <c r="F38" s="1" t="s">
        <v>407</v>
      </c>
      <c r="G38" s="1"/>
      <c r="H38" s="1">
        <v>2017.0</v>
      </c>
      <c r="I38" s="1" t="s">
        <v>24</v>
      </c>
      <c r="J38" s="1" t="s">
        <v>4435</v>
      </c>
      <c r="K38" s="4" t="s">
        <v>4436</v>
      </c>
      <c r="L38" s="1" t="s">
        <v>4311</v>
      </c>
      <c r="N38" s="1" t="s">
        <v>23</v>
      </c>
    </row>
    <row r="39">
      <c r="A39" s="1">
        <v>9498.0</v>
      </c>
      <c r="B39" s="1" t="s">
        <v>4437</v>
      </c>
      <c r="C39" s="1" t="str">
        <f>IFERROR(__xludf.DUMMYFUNCTION("GOOGLETRANSLATE(B39)"),"National Energy and Climate Plan of the Czech Republic ")</f>
        <v>National Energy and Climate Plan of the Czech Republic </v>
      </c>
      <c r="D39" s="1" t="s">
        <v>4423</v>
      </c>
      <c r="E39" s="1" t="s">
        <v>4424</v>
      </c>
      <c r="F39" s="1" t="s">
        <v>234</v>
      </c>
      <c r="G39" s="1"/>
      <c r="H39" s="1">
        <v>2019.0</v>
      </c>
      <c r="I39" s="1" t="s">
        <v>24</v>
      </c>
      <c r="J39" s="1" t="s">
        <v>4438</v>
      </c>
      <c r="K39" s="4" t="s">
        <v>4439</v>
      </c>
      <c r="L39" s="1" t="s">
        <v>4311</v>
      </c>
      <c r="N39" s="1" t="s">
        <v>23</v>
      </c>
    </row>
    <row r="40">
      <c r="A40" s="1">
        <v>9498.0</v>
      </c>
      <c r="B40" s="1" t="s">
        <v>4440</v>
      </c>
      <c r="C40" s="1" t="str">
        <f>IFERROR(__xludf.DUMMYFUNCTION("GOOGLETRANSLATE(B40)"),"The national plan of the Czech Republic in the field of energy and climate")</f>
        <v>The national plan of the Czech Republic in the field of energy and climate</v>
      </c>
      <c r="D40" s="1" t="s">
        <v>4423</v>
      </c>
      <c r="E40" s="1" t="s">
        <v>4424</v>
      </c>
      <c r="F40" s="1" t="s">
        <v>234</v>
      </c>
      <c r="G40" s="1"/>
      <c r="H40" s="1">
        <v>2019.0</v>
      </c>
      <c r="I40" s="1" t="s">
        <v>4425</v>
      </c>
      <c r="J40" s="1" t="s">
        <v>4441</v>
      </c>
      <c r="K40" s="4" t="s">
        <v>4442</v>
      </c>
      <c r="L40" s="1" t="s">
        <v>4311</v>
      </c>
      <c r="N40" s="1" t="s">
        <v>23</v>
      </c>
    </row>
    <row r="41">
      <c r="A41" s="1">
        <v>10495.0</v>
      </c>
      <c r="B41" s="1" t="s">
        <v>4443</v>
      </c>
      <c r="C41" s="1" t="str">
        <f>IFERROR(__xludf.DUMMYFUNCTION("GOOGLETRANSLATE(B41)"),"Assessment of the recovery and resilience plan
")</f>
        <v>Assessment of the recovery and resilience plan
</v>
      </c>
      <c r="D41" s="1" t="s">
        <v>4423</v>
      </c>
      <c r="E41" s="1" t="s">
        <v>4424</v>
      </c>
      <c r="F41" s="1" t="s">
        <v>305</v>
      </c>
      <c r="G41" s="1"/>
      <c r="H41" s="1">
        <v>2021.0</v>
      </c>
      <c r="I41" s="1" t="s">
        <v>24</v>
      </c>
      <c r="J41" s="4" t="s">
        <v>4444</v>
      </c>
      <c r="K41" s="4" t="s">
        <v>4445</v>
      </c>
      <c r="L41" s="1" t="s">
        <v>4311</v>
      </c>
      <c r="N41" s="1" t="s">
        <v>92</v>
      </c>
    </row>
    <row r="42">
      <c r="A42" s="1">
        <v>10495.0</v>
      </c>
      <c r="B42" s="1" t="s">
        <v>4446</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4423</v>
      </c>
      <c r="E42" s="1" t="s">
        <v>4424</v>
      </c>
      <c r="F42" s="1" t="s">
        <v>972</v>
      </c>
      <c r="G42" s="1"/>
      <c r="H42" s="1">
        <v>2021.0</v>
      </c>
      <c r="I42" s="1" t="s">
        <v>24</v>
      </c>
      <c r="J42" s="4" t="s">
        <v>4447</v>
      </c>
      <c r="K42" s="4" t="s">
        <v>4448</v>
      </c>
      <c r="L42" s="1" t="s">
        <v>4311</v>
      </c>
      <c r="N42" s="1" t="s">
        <v>92</v>
      </c>
    </row>
    <row r="43">
      <c r="A43" s="1">
        <v>10495.0</v>
      </c>
      <c r="B43" s="1" t="s">
        <v>4449</v>
      </c>
      <c r="C43" s="1" t="str">
        <f>IFERROR(__xludf.DUMMYFUNCTION("GOOGLETRANSLATE(B43)"),"National Restore Plan (Website)")</f>
        <v>National Restore Plan (Website)</v>
      </c>
      <c r="D43" s="1" t="s">
        <v>4423</v>
      </c>
      <c r="E43" s="1" t="s">
        <v>4424</v>
      </c>
      <c r="F43" s="1" t="s">
        <v>234</v>
      </c>
      <c r="G43" s="1"/>
      <c r="H43" s="1">
        <v>2021.0</v>
      </c>
      <c r="I43" s="1" t="s">
        <v>4425</v>
      </c>
      <c r="J43" s="1" t="s">
        <v>4450</v>
      </c>
      <c r="K43" s="4" t="s">
        <v>4451</v>
      </c>
      <c r="L43" s="1" t="s">
        <v>4311</v>
      </c>
      <c r="N43" s="1" t="s">
        <v>326</v>
      </c>
    </row>
    <row r="44">
      <c r="A44" s="1">
        <v>10495.0</v>
      </c>
      <c r="B44" s="1" t="s">
        <v>4452</v>
      </c>
      <c r="C44" s="1" t="str">
        <f>IFERROR(__xludf.DUMMYFUNCTION("GOOGLETRANSLATE(B44)"),"Factsheet: Czechia’s recovery and resilience plan
")</f>
        <v>Factsheet: Czechia’s recovery and resilience plan
</v>
      </c>
      <c r="D44" s="1" t="s">
        <v>4423</v>
      </c>
      <c r="E44" s="1" t="s">
        <v>4424</v>
      </c>
      <c r="F44" s="1" t="s">
        <v>1532</v>
      </c>
      <c r="G44" s="1"/>
      <c r="H44" s="1">
        <v>2021.0</v>
      </c>
      <c r="I44" s="1" t="s">
        <v>24</v>
      </c>
      <c r="J44" s="1" t="s">
        <v>4453</v>
      </c>
      <c r="K44" s="4" t="s">
        <v>4454</v>
      </c>
      <c r="L44" s="1" t="s">
        <v>4311</v>
      </c>
      <c r="N44" s="1" t="s">
        <v>92</v>
      </c>
    </row>
    <row r="45">
      <c r="A45" s="1">
        <v>3001.0</v>
      </c>
      <c r="B45" s="1" t="s">
        <v>4455</v>
      </c>
      <c r="C45" s="1" t="s">
        <v>4456</v>
      </c>
      <c r="D45" s="1" t="s">
        <v>4457</v>
      </c>
      <c r="E45" s="1" t="s">
        <v>4458</v>
      </c>
      <c r="F45" s="1" t="s">
        <v>234</v>
      </c>
      <c r="G45" s="1"/>
      <c r="H45" s="1">
        <v>2012.0</v>
      </c>
      <c r="I45" s="1" t="s">
        <v>811</v>
      </c>
      <c r="J45" s="1" t="s">
        <v>4459</v>
      </c>
      <c r="K45" s="4" t="s">
        <v>4460</v>
      </c>
      <c r="L45" s="1" t="s">
        <v>4311</v>
      </c>
      <c r="N45" s="1" t="s">
        <v>23</v>
      </c>
    </row>
    <row r="46">
      <c r="A46" s="1">
        <v>3001.0</v>
      </c>
      <c r="B46" s="1" t="s">
        <v>4461</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4457</v>
      </c>
      <c r="E46" s="1" t="s">
        <v>4458</v>
      </c>
      <c r="F46" s="1" t="s">
        <v>234</v>
      </c>
      <c r="G46" s="1"/>
      <c r="H46" s="1">
        <v>2011.0</v>
      </c>
      <c r="I46" s="1" t="s">
        <v>24</v>
      </c>
      <c r="J46" s="1" t="s">
        <v>4462</v>
      </c>
      <c r="K46" s="4" t="s">
        <v>4463</v>
      </c>
      <c r="L46" s="1" t="s">
        <v>4311</v>
      </c>
      <c r="N46" s="1" t="s">
        <v>23</v>
      </c>
    </row>
    <row r="47">
      <c r="A47" s="1">
        <v>9363.0</v>
      </c>
      <c r="B47" s="1" t="s">
        <v>4464</v>
      </c>
      <c r="C47" s="1" t="str">
        <f>IFERROR(__xludf.DUMMYFUNCTION("GOOGLETRANSLATE(B47)"),"Law on Climate (Climate Act)")</f>
        <v>Law on Climate (Climate Act)</v>
      </c>
      <c r="D47" s="1" t="s">
        <v>4465</v>
      </c>
      <c r="E47" s="1" t="s">
        <v>4466</v>
      </c>
      <c r="F47" s="1" t="s">
        <v>41</v>
      </c>
      <c r="G47" s="1"/>
      <c r="H47" s="1">
        <v>2020.0</v>
      </c>
      <c r="I47" s="1" t="s">
        <v>24</v>
      </c>
      <c r="J47" s="1" t="s">
        <v>4467</v>
      </c>
      <c r="K47" s="4" t="s">
        <v>4468</v>
      </c>
      <c r="L47" s="1" t="s">
        <v>4311</v>
      </c>
      <c r="N47" s="1" t="s">
        <v>23</v>
      </c>
    </row>
    <row r="48">
      <c r="A48" s="1">
        <v>9363.0</v>
      </c>
      <c r="B48" s="1" t="s">
        <v>4469</v>
      </c>
      <c r="C48" s="1" t="str">
        <f>IFERROR(__xludf.DUMMYFUNCTION("GOOGLETRANSLATE(B48)"),"Law on Climate")</f>
        <v>Law on Climate</v>
      </c>
      <c r="D48" s="1" t="s">
        <v>4465</v>
      </c>
      <c r="E48" s="1" t="s">
        <v>4466</v>
      </c>
      <c r="F48" s="1" t="s">
        <v>41</v>
      </c>
      <c r="G48" s="1"/>
      <c r="H48" s="1">
        <v>2020.0</v>
      </c>
      <c r="I48" s="1" t="s">
        <v>4470</v>
      </c>
      <c r="J48" s="1" t="s">
        <v>4471</v>
      </c>
      <c r="K48" s="4" t="s">
        <v>4472</v>
      </c>
      <c r="L48" s="1" t="s">
        <v>4311</v>
      </c>
      <c r="N48" s="1" t="s">
        <v>92</v>
      </c>
    </row>
    <row r="49">
      <c r="A49" s="1">
        <v>9404.0</v>
      </c>
      <c r="B49" s="1" t="s">
        <v>4473</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4465</v>
      </c>
      <c r="E49" s="1" t="s">
        <v>4466</v>
      </c>
      <c r="F49" s="1" t="s">
        <v>4474</v>
      </c>
      <c r="G49" s="1"/>
      <c r="H49" s="1">
        <v>2011.0</v>
      </c>
      <c r="I49" s="1" t="s">
        <v>4470</v>
      </c>
      <c r="J49" s="4" t="s">
        <v>4475</v>
      </c>
      <c r="K49" s="4" t="s">
        <v>4476</v>
      </c>
      <c r="L49" s="1" t="s">
        <v>4311</v>
      </c>
      <c r="N49" s="1" t="s">
        <v>92</v>
      </c>
    </row>
    <row r="50">
      <c r="A50" s="1">
        <v>9404.0</v>
      </c>
      <c r="B50" s="1" t="s">
        <v>4477</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4465</v>
      </c>
      <c r="E50" s="1" t="s">
        <v>4466</v>
      </c>
      <c r="F50" s="1" t="s">
        <v>4474</v>
      </c>
      <c r="G50" s="1"/>
      <c r="H50" s="1">
        <v>2020.0</v>
      </c>
      <c r="I50" s="1" t="s">
        <v>4470</v>
      </c>
      <c r="J50" s="4" t="s">
        <v>4478</v>
      </c>
      <c r="K50" s="4" t="s">
        <v>4479</v>
      </c>
      <c r="L50" s="1" t="s">
        <v>4311</v>
      </c>
      <c r="N50" s="1" t="s">
        <v>92</v>
      </c>
    </row>
    <row r="51">
      <c r="A51" s="1">
        <v>9404.0</v>
      </c>
      <c r="B51" s="1" t="s">
        <v>4480</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4465</v>
      </c>
      <c r="E51" s="1" t="s">
        <v>4466</v>
      </c>
      <c r="F51" s="1" t="s">
        <v>41</v>
      </c>
      <c r="G51" s="1"/>
      <c r="H51" s="1">
        <v>2016.0</v>
      </c>
      <c r="I51" s="1" t="s">
        <v>4470</v>
      </c>
      <c r="J51" s="4" t="s">
        <v>4481</v>
      </c>
      <c r="K51" s="4" t="s">
        <v>4482</v>
      </c>
      <c r="L51" s="1" t="s">
        <v>4311</v>
      </c>
      <c r="N51" s="1" t="s">
        <v>92</v>
      </c>
    </row>
    <row r="52">
      <c r="A52" s="1">
        <v>10496.0</v>
      </c>
      <c r="B52" s="1" t="s">
        <v>4483</v>
      </c>
      <c r="C52" s="1" t="str">
        <f>IFERROR(__xludf.DUMMYFUNCTION("GOOGLETRANSLATE(B52)"),"Assessment of the recovery and resilience plan")</f>
        <v>Assessment of the recovery and resilience plan</v>
      </c>
      <c r="D52" s="1" t="s">
        <v>4465</v>
      </c>
      <c r="E52" s="1" t="s">
        <v>4466</v>
      </c>
      <c r="F52" s="1" t="s">
        <v>305</v>
      </c>
      <c r="G52" s="1"/>
      <c r="H52" s="1">
        <v>2021.0</v>
      </c>
      <c r="I52" s="1" t="s">
        <v>24</v>
      </c>
      <c r="J52" s="4" t="s">
        <v>4484</v>
      </c>
      <c r="K52" s="4" t="s">
        <v>4485</v>
      </c>
      <c r="L52" s="1" t="s">
        <v>4311</v>
      </c>
      <c r="N52" s="1" t="s">
        <v>92</v>
      </c>
    </row>
    <row r="53">
      <c r="A53" s="1">
        <v>10496.0</v>
      </c>
      <c r="B53" s="1" t="s">
        <v>4486</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4465</v>
      </c>
      <c r="E53" s="1" t="s">
        <v>4466</v>
      </c>
      <c r="F53" s="1" t="s">
        <v>972</v>
      </c>
      <c r="G53" s="1"/>
      <c r="H53" s="1">
        <v>2021.0</v>
      </c>
      <c r="I53" s="1" t="s">
        <v>24</v>
      </c>
      <c r="J53" s="4" t="s">
        <v>4487</v>
      </c>
      <c r="K53" s="4" t="s">
        <v>4488</v>
      </c>
      <c r="L53" s="1" t="s">
        <v>4311</v>
      </c>
      <c r="N53" s="1" t="s">
        <v>92</v>
      </c>
    </row>
    <row r="54">
      <c r="A54" s="1">
        <v>10496.0</v>
      </c>
      <c r="B54" s="1" t="s">
        <v>4489</v>
      </c>
      <c r="C54" s="1" t="str">
        <f>IFERROR(__xludf.DUMMYFUNCTION("GOOGLETRANSLATE(B54)"),"Factsheet: Denmark’s recovery and resilience plan")</f>
        <v>Factsheet: Denmark’s recovery and resilience plan</v>
      </c>
      <c r="D54" s="1" t="s">
        <v>4465</v>
      </c>
      <c r="E54" s="1" t="s">
        <v>4466</v>
      </c>
      <c r="F54" s="1" t="s">
        <v>1532</v>
      </c>
      <c r="G54" s="1"/>
      <c r="H54" s="1">
        <v>2021.0</v>
      </c>
      <c r="I54" s="1" t="s">
        <v>24</v>
      </c>
      <c r="J54" s="1" t="s">
        <v>4490</v>
      </c>
      <c r="K54" s="4" t="s">
        <v>4491</v>
      </c>
      <c r="L54" s="1" t="s">
        <v>4311</v>
      </c>
      <c r="N54" s="1" t="s">
        <v>92</v>
      </c>
    </row>
    <row r="55">
      <c r="A55" s="1">
        <v>10496.0</v>
      </c>
      <c r="B55" s="1" t="s">
        <v>4492</v>
      </c>
      <c r="C55" s="1" t="str">
        <f>IFERROR(__xludf.DUMMYFUNCTION("GOOGLETRANSLATE(B55)"),"Danish recovery plan must support the green transition")</f>
        <v>Danish recovery plan must support the green transition</v>
      </c>
      <c r="D55" s="1" t="s">
        <v>4465</v>
      </c>
      <c r="E55" s="1" t="s">
        <v>4466</v>
      </c>
      <c r="F55" s="1" t="s">
        <v>1532</v>
      </c>
      <c r="G55" s="1"/>
      <c r="H55" s="1">
        <v>2021.0</v>
      </c>
      <c r="I55" s="1" t="s">
        <v>4470</v>
      </c>
      <c r="J55" s="1" t="s">
        <v>4493</v>
      </c>
      <c r="K55" s="4" t="s">
        <v>4494</v>
      </c>
      <c r="L55" s="1" t="s">
        <v>4311</v>
      </c>
      <c r="N55" s="1" t="s">
        <v>92</v>
      </c>
      <c r="O55" s="1" t="s">
        <v>4495</v>
      </c>
    </row>
    <row r="56">
      <c r="A56" s="1">
        <v>1165.0</v>
      </c>
      <c r="B56" s="1" t="s">
        <v>4496</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4497</v>
      </c>
      <c r="E56" s="1" t="s">
        <v>4498</v>
      </c>
      <c r="F56" s="1" t="s">
        <v>41</v>
      </c>
      <c r="G56" s="1"/>
      <c r="H56" s="1">
        <v>2007.0</v>
      </c>
      <c r="I56" s="1" t="s">
        <v>924</v>
      </c>
      <c r="J56" s="1" t="s">
        <v>4499</v>
      </c>
      <c r="K56" s="4" t="s">
        <v>4500</v>
      </c>
      <c r="L56" s="1" t="s">
        <v>4311</v>
      </c>
      <c r="N56" s="1" t="s">
        <v>23</v>
      </c>
    </row>
    <row r="57">
      <c r="A57" s="1">
        <v>1165.0</v>
      </c>
      <c r="B57" s="1" t="s">
        <v>4501</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4497</v>
      </c>
      <c r="E57" s="1" t="s">
        <v>4498</v>
      </c>
      <c r="F57" s="1" t="s">
        <v>18</v>
      </c>
      <c r="G57" s="1"/>
      <c r="H57" s="1">
        <v>2012.0</v>
      </c>
      <c r="I57" s="1" t="s">
        <v>924</v>
      </c>
      <c r="J57" s="1" t="s">
        <v>4502</v>
      </c>
      <c r="K57" s="4" t="s">
        <v>4503</v>
      </c>
      <c r="L57" s="1" t="s">
        <v>4311</v>
      </c>
      <c r="N57" s="1" t="s">
        <v>23</v>
      </c>
    </row>
    <row r="58">
      <c r="A58" s="1">
        <v>1167.0</v>
      </c>
      <c r="B58" s="1" t="s">
        <v>4504</v>
      </c>
      <c r="C58" s="18" t="s">
        <v>4505</v>
      </c>
      <c r="D58" s="1" t="s">
        <v>4497</v>
      </c>
      <c r="E58" s="1" t="s">
        <v>4498</v>
      </c>
      <c r="F58" s="1" t="s">
        <v>41</v>
      </c>
      <c r="G58" s="1"/>
      <c r="H58" s="1">
        <v>2000.0</v>
      </c>
      <c r="I58" s="1" t="s">
        <v>924</v>
      </c>
      <c r="J58" s="1" t="s">
        <v>4506</v>
      </c>
      <c r="K58" s="4" t="s">
        <v>4507</v>
      </c>
      <c r="L58" s="1" t="s">
        <v>4311</v>
      </c>
      <c r="N58" s="1" t="s">
        <v>23</v>
      </c>
    </row>
    <row r="59">
      <c r="A59" s="1">
        <v>1167.0</v>
      </c>
      <c r="B59" s="1" t="s">
        <v>4508</v>
      </c>
      <c r="C59" s="18" t="s">
        <v>4509</v>
      </c>
      <c r="D59" s="1" t="s">
        <v>4497</v>
      </c>
      <c r="E59" s="1" t="s">
        <v>4498</v>
      </c>
      <c r="F59" s="1" t="s">
        <v>18</v>
      </c>
      <c r="G59" s="1"/>
      <c r="H59" s="1">
        <v>2001.0</v>
      </c>
      <c r="I59" s="1" t="s">
        <v>924</v>
      </c>
      <c r="J59" s="1" t="s">
        <v>4510</v>
      </c>
      <c r="K59" s="4" t="s">
        <v>4511</v>
      </c>
      <c r="L59" s="1" t="s">
        <v>4311</v>
      </c>
      <c r="N59" s="1" t="s">
        <v>23</v>
      </c>
    </row>
    <row r="60">
      <c r="A60" s="1">
        <v>1169.0</v>
      </c>
      <c r="B60" s="1" t="s">
        <v>4512</v>
      </c>
      <c r="C60" s="1" t="str">
        <f>IFERROR(__xludf.DUMMYFUNCTION("GOOGLETRANSLATE(B60)"),"National Plan for Good Living 2013-2017")</f>
        <v>National Plan for Good Living 2013-2017</v>
      </c>
      <c r="D60" s="1" t="s">
        <v>4513</v>
      </c>
      <c r="E60" s="1" t="s">
        <v>4514</v>
      </c>
      <c r="F60" s="1" t="s">
        <v>234</v>
      </c>
      <c r="G60" s="1"/>
      <c r="H60" s="1">
        <v>2013.0</v>
      </c>
      <c r="I60" s="1" t="s">
        <v>924</v>
      </c>
      <c r="J60" s="1" t="s">
        <v>4515</v>
      </c>
      <c r="K60" s="4" t="s">
        <v>4516</v>
      </c>
      <c r="L60" s="1" t="s">
        <v>4311</v>
      </c>
      <c r="N60" s="1" t="s">
        <v>37</v>
      </c>
    </row>
    <row r="61">
      <c r="A61" s="1">
        <v>1169.0</v>
      </c>
      <c r="B61" s="1" t="s">
        <v>4517</v>
      </c>
      <c r="C61" s="1" t="str">
        <f>IFERROR(__xludf.DUMMYFUNCTION("GOOGLETRANSLATE(B61)"),"National Development Plan 2017-2021")</f>
        <v>National Development Plan 2017-2021</v>
      </c>
      <c r="D61" s="1" t="s">
        <v>4513</v>
      </c>
      <c r="E61" s="1" t="s">
        <v>4514</v>
      </c>
      <c r="F61" s="1" t="s">
        <v>234</v>
      </c>
      <c r="G61" s="1"/>
      <c r="H61" s="1">
        <v>2017.0</v>
      </c>
      <c r="I61" s="1" t="s">
        <v>924</v>
      </c>
      <c r="J61" s="1" t="s">
        <v>4518</v>
      </c>
      <c r="K61" s="4" t="s">
        <v>4519</v>
      </c>
      <c r="L61" s="1" t="s">
        <v>4311</v>
      </c>
      <c r="N61" s="1" t="s">
        <v>23</v>
      </c>
    </row>
    <row r="62">
      <c r="A62" s="1">
        <v>1169.0</v>
      </c>
      <c r="B62" s="1" t="s">
        <v>4520</v>
      </c>
      <c r="C62" s="1" t="str">
        <f>IFERROR(__xludf.DUMMYFUNCTION("GOOGLETRANSLATE(B62)"),"Good Living National Plan 2013-2017")</f>
        <v>Good Living National Plan 2013-2017</v>
      </c>
      <c r="D62" s="1" t="s">
        <v>4513</v>
      </c>
      <c r="E62" s="1" t="s">
        <v>4514</v>
      </c>
      <c r="F62" s="1" t="s">
        <v>234</v>
      </c>
      <c r="G62" s="1"/>
      <c r="H62" s="1">
        <v>2013.0</v>
      </c>
      <c r="I62" s="1" t="s">
        <v>924</v>
      </c>
      <c r="J62" s="1" t="s">
        <v>4521</v>
      </c>
      <c r="K62" s="4" t="s">
        <v>4522</v>
      </c>
      <c r="L62" s="1" t="s">
        <v>4311</v>
      </c>
      <c r="N62" s="1" t="s">
        <v>37</v>
      </c>
    </row>
    <row r="63">
      <c r="A63" s="1">
        <v>1171.0</v>
      </c>
      <c r="B63" s="1" t="s">
        <v>4523</v>
      </c>
      <c r="C63" s="1" t="s">
        <v>4524</v>
      </c>
      <c r="D63" s="1" t="s">
        <v>4513</v>
      </c>
      <c r="E63" s="1" t="s">
        <v>4514</v>
      </c>
      <c r="F63" s="1" t="s">
        <v>18</v>
      </c>
      <c r="G63" s="1"/>
      <c r="H63" s="1">
        <v>2011.0</v>
      </c>
      <c r="I63" s="1" t="s">
        <v>924</v>
      </c>
      <c r="J63" s="1" t="s">
        <v>4525</v>
      </c>
      <c r="K63" s="4" t="s">
        <v>4526</v>
      </c>
      <c r="L63" s="1" t="s">
        <v>4311</v>
      </c>
      <c r="N63" s="1" t="s">
        <v>37</v>
      </c>
    </row>
    <row r="64">
      <c r="A64" s="1">
        <v>1171.0</v>
      </c>
      <c r="B64" s="9" t="s">
        <v>4527</v>
      </c>
      <c r="C64" s="1" t="str">
        <f>IFERROR(__xludf.DUMMYFUNCTION("GOOGLETRANSLATE(B64)"),"Programme RENOVA (Executive Decree No. 741)")</f>
        <v>Programme RENOVA (Executive Decree No. 741)</v>
      </c>
      <c r="D64" s="1" t="s">
        <v>4513</v>
      </c>
      <c r="E64" s="1" t="s">
        <v>4514</v>
      </c>
      <c r="F64" s="1" t="s">
        <v>18</v>
      </c>
      <c r="G64" s="1"/>
      <c r="H64" s="1">
        <v>2011.0</v>
      </c>
      <c r="I64" s="1" t="s">
        <v>924</v>
      </c>
      <c r="J64" s="1" t="s">
        <v>4528</v>
      </c>
      <c r="K64" s="4" t="s">
        <v>4529</v>
      </c>
      <c r="L64" s="1" t="s">
        <v>4311</v>
      </c>
      <c r="N64" s="1" t="s">
        <v>37</v>
      </c>
    </row>
    <row r="65">
      <c r="A65" s="1">
        <v>1171.0</v>
      </c>
      <c r="B65" s="9" t="s">
        <v>4530</v>
      </c>
      <c r="C65" s="9" t="s">
        <v>4531</v>
      </c>
      <c r="D65" s="1" t="s">
        <v>4513</v>
      </c>
      <c r="E65" s="1" t="s">
        <v>4514</v>
      </c>
      <c r="F65" s="1" t="s">
        <v>18</v>
      </c>
      <c r="G65" s="1"/>
      <c r="H65" s="1">
        <v>2010.0</v>
      </c>
      <c r="I65" s="1" t="s">
        <v>924</v>
      </c>
      <c r="J65" s="1" t="s">
        <v>4532</v>
      </c>
      <c r="K65" s="4" t="s">
        <v>4533</v>
      </c>
      <c r="L65" s="1" t="s">
        <v>4311</v>
      </c>
      <c r="N65" s="1" t="s">
        <v>37</v>
      </c>
    </row>
    <row r="66">
      <c r="A66" s="1">
        <v>1171.0</v>
      </c>
      <c r="B66" s="9" t="s">
        <v>4534</v>
      </c>
      <c r="C66" s="9" t="s">
        <v>4535</v>
      </c>
      <c r="D66" s="1" t="s">
        <v>4513</v>
      </c>
      <c r="E66" s="1" t="s">
        <v>4514</v>
      </c>
      <c r="F66" s="1" t="s">
        <v>18</v>
      </c>
      <c r="G66" s="1"/>
      <c r="H66" s="1">
        <v>2014.0</v>
      </c>
      <c r="I66" s="1" t="s">
        <v>924</v>
      </c>
      <c r="J66" s="1" t="s">
        <v>4536</v>
      </c>
      <c r="K66" s="4" t="s">
        <v>4537</v>
      </c>
      <c r="L66" s="1" t="s">
        <v>4311</v>
      </c>
      <c r="N66" s="1" t="s">
        <v>23</v>
      </c>
    </row>
    <row r="67">
      <c r="A67" s="1">
        <v>9500.0</v>
      </c>
      <c r="B67" s="1" t="s">
        <v>4538</v>
      </c>
      <c r="C67" s="1" t="str">
        <f>IFERROR(__xludf.DUMMYFUNCTION("GOOGLETRANSLATE(B67)"),"Estonia’s 2030 National Energy and Climate Plan (NECP 2030)")</f>
        <v>Estonia’s 2030 National Energy and Climate Plan (NECP 2030)</v>
      </c>
      <c r="D67" s="1" t="s">
        <v>4539</v>
      </c>
      <c r="E67" s="1" t="s">
        <v>4540</v>
      </c>
      <c r="F67" s="1" t="s">
        <v>234</v>
      </c>
      <c r="G67" s="1"/>
      <c r="H67" s="1">
        <v>2019.0</v>
      </c>
      <c r="I67" s="1" t="s">
        <v>24</v>
      </c>
      <c r="J67" s="1" t="s">
        <v>4541</v>
      </c>
      <c r="K67" s="4" t="s">
        <v>4542</v>
      </c>
      <c r="L67" s="1" t="s">
        <v>4311</v>
      </c>
      <c r="N67" s="1" t="s">
        <v>23</v>
      </c>
    </row>
    <row r="68">
      <c r="A68" s="1">
        <v>9500.0</v>
      </c>
      <c r="B68" s="1" t="s">
        <v>4543</v>
      </c>
      <c r="C68" s="1" t="str">
        <f>IFERROR(__xludf.DUMMYFUNCTION("GOOGLETRANSLATE(B68)"),"Estonian National Energy and Climate Plan until 2030 (REKK 2030)")</f>
        <v>Estonian National Energy and Climate Plan until 2030 (REKK 2030)</v>
      </c>
      <c r="D68" s="1" t="s">
        <v>4539</v>
      </c>
      <c r="E68" s="1" t="s">
        <v>4540</v>
      </c>
      <c r="F68" s="1" t="s">
        <v>234</v>
      </c>
      <c r="G68" s="1"/>
      <c r="H68" s="1">
        <v>2019.0</v>
      </c>
      <c r="I68" s="1" t="s">
        <v>4544</v>
      </c>
      <c r="J68" s="1" t="s">
        <v>4545</v>
      </c>
      <c r="K68" s="4" t="s">
        <v>4546</v>
      </c>
      <c r="L68" s="1" t="s">
        <v>4311</v>
      </c>
      <c r="N68" s="1" t="s">
        <v>23</v>
      </c>
    </row>
    <row r="69">
      <c r="A69" s="1">
        <v>10497.0</v>
      </c>
      <c r="B69" s="1" t="s">
        <v>4547</v>
      </c>
      <c r="C69" s="1" t="str">
        <f>IFERROR(__xludf.DUMMYFUNCTION("GOOGLETRANSLATE(B69)"),"Estonia’s recovery and resilience plan")</f>
        <v>Estonia’s recovery and resilience plan</v>
      </c>
      <c r="D69" s="1" t="s">
        <v>4539</v>
      </c>
      <c r="E69" s="1" t="s">
        <v>4540</v>
      </c>
      <c r="F69" s="1" t="s">
        <v>234</v>
      </c>
      <c r="G69" s="1"/>
      <c r="H69" s="1">
        <v>2021.0</v>
      </c>
      <c r="I69" s="1" t="s">
        <v>24</v>
      </c>
      <c r="J69" s="1" t="s">
        <v>4548</v>
      </c>
      <c r="K69" s="4" t="s">
        <v>4549</v>
      </c>
      <c r="L69" s="1" t="s">
        <v>4311</v>
      </c>
      <c r="N69" s="1" t="s">
        <v>92</v>
      </c>
    </row>
    <row r="70">
      <c r="A70" s="1">
        <v>10497.0</v>
      </c>
      <c r="B70" s="1" t="s">
        <v>4550</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4539</v>
      </c>
      <c r="E70" s="1" t="s">
        <v>4540</v>
      </c>
      <c r="F70" s="1" t="s">
        <v>247</v>
      </c>
      <c r="G70" s="1"/>
      <c r="H70" s="1">
        <v>2021.0</v>
      </c>
      <c r="I70" s="1" t="s">
        <v>24</v>
      </c>
      <c r="J70" s="1" t="s">
        <v>4551</v>
      </c>
      <c r="K70" s="4" t="s">
        <v>4552</v>
      </c>
      <c r="L70" s="1" t="s">
        <v>4311</v>
      </c>
      <c r="N70" s="1" t="s">
        <v>92</v>
      </c>
    </row>
    <row r="71">
      <c r="A71" s="1">
        <v>10497.0</v>
      </c>
      <c r="B71" s="1" t="s">
        <v>4553</v>
      </c>
      <c r="C71" s="1" t="str">
        <f>IFERROR(__xludf.DUMMYFUNCTION("GOOGLETRANSLATE(B71)"),"Rehabilitation and Resilience Facility (RRF) for Estonia - website")</f>
        <v>Rehabilitation and Resilience Facility (RRF) for Estonia - website</v>
      </c>
      <c r="D71" s="1" t="s">
        <v>4539</v>
      </c>
      <c r="E71" s="1" t="s">
        <v>4540</v>
      </c>
      <c r="F71" s="9" t="s">
        <v>234</v>
      </c>
      <c r="G71" s="1"/>
      <c r="H71" s="1">
        <v>2022.0</v>
      </c>
      <c r="I71" s="1" t="s">
        <v>24</v>
      </c>
      <c r="J71" s="1" t="s">
        <v>4554</v>
      </c>
      <c r="K71" s="4" t="s">
        <v>4555</v>
      </c>
      <c r="L71" s="1" t="s">
        <v>4311</v>
      </c>
      <c r="N71" s="1" t="s">
        <v>326</v>
      </c>
    </row>
    <row r="72">
      <c r="A72" s="1">
        <v>10497.0</v>
      </c>
      <c r="B72" s="1" t="s">
        <v>4556</v>
      </c>
      <c r="C72" s="1" t="str">
        <f>IFERROR(__xludf.DUMMYFUNCTION("GOOGLETRANSLATE(B72)"),"Factsheet: Estonia's recovery and resilience plan")</f>
        <v>Factsheet: Estonia's recovery and resilience plan</v>
      </c>
      <c r="D72" s="1" t="s">
        <v>4539</v>
      </c>
      <c r="E72" s="1" t="s">
        <v>4540</v>
      </c>
      <c r="F72" s="1" t="s">
        <v>234</v>
      </c>
      <c r="G72" s="1"/>
      <c r="H72" s="1">
        <v>2021.0</v>
      </c>
      <c r="I72" s="1" t="s">
        <v>24</v>
      </c>
      <c r="J72" s="1" t="s">
        <v>4557</v>
      </c>
      <c r="K72" s="4" t="s">
        <v>4558</v>
      </c>
      <c r="L72" s="1" t="s">
        <v>4311</v>
      </c>
      <c r="N72" s="1" t="s">
        <v>23</v>
      </c>
    </row>
    <row r="73">
      <c r="A73" s="1">
        <v>10497.0</v>
      </c>
      <c r="B73" s="1" t="s">
        <v>4547</v>
      </c>
      <c r="C73" s="1" t="str">
        <f>IFERROR(__xludf.DUMMYFUNCTION("GOOGLETRANSLATE(B73)"),"Estonia’s recovery and resilience plan")</f>
        <v>Estonia’s recovery and resilience plan</v>
      </c>
      <c r="D73" s="1" t="s">
        <v>4539</v>
      </c>
      <c r="E73" s="1" t="s">
        <v>4540</v>
      </c>
      <c r="F73" s="1" t="s">
        <v>234</v>
      </c>
      <c r="G73" s="1"/>
      <c r="H73" s="1">
        <v>2021.0</v>
      </c>
      <c r="I73" s="1" t="s">
        <v>4544</v>
      </c>
      <c r="J73" s="1" t="s">
        <v>4559</v>
      </c>
      <c r="K73" s="4" t="s">
        <v>4560</v>
      </c>
      <c r="L73" s="1" t="s">
        <v>4311</v>
      </c>
      <c r="N73" s="1" t="s">
        <v>92</v>
      </c>
    </row>
    <row r="74">
      <c r="A74" s="1">
        <v>1196.0</v>
      </c>
      <c r="B74" s="1" t="s">
        <v>4561</v>
      </c>
      <c r="C74" s="1" t="str">
        <f>IFERROR(__xludf.DUMMYFUNCTION("GOOGLETRANSLATE(B74)"),"A policy framework for climate and energy in the period from 2020 to 2030")</f>
        <v>A policy framework for climate and energy in the period from 2020 to 2030</v>
      </c>
      <c r="D74" s="1" t="s">
        <v>4562</v>
      </c>
      <c r="E74" s="1" t="s">
        <v>4563</v>
      </c>
      <c r="F74" s="1" t="s">
        <v>259</v>
      </c>
      <c r="G74" s="1"/>
      <c r="H74" s="1">
        <v>2014.0</v>
      </c>
      <c r="I74" s="1" t="s">
        <v>24</v>
      </c>
      <c r="J74" s="1" t="s">
        <v>4564</v>
      </c>
      <c r="K74" s="4" t="s">
        <v>4565</v>
      </c>
      <c r="L74" s="1" t="s">
        <v>4311</v>
      </c>
      <c r="N74" s="1" t="s">
        <v>23</v>
      </c>
    </row>
    <row r="75">
      <c r="A75" s="1">
        <v>1196.0</v>
      </c>
      <c r="B75" s="1" t="s">
        <v>4566</v>
      </c>
      <c r="C75" s="1" t="str">
        <f>IFERROR(__xludf.DUMMYFUNCTION("GOOGLETRANSLATE(B75)"),"European Council (23 and 24 October 2014) ‒ Conclusions")</f>
        <v>European Council (23 and 24 October 2014) ‒ Conclusions</v>
      </c>
      <c r="D75" s="1" t="s">
        <v>4562</v>
      </c>
      <c r="E75" s="1" t="s">
        <v>4563</v>
      </c>
      <c r="F75" s="9" t="s">
        <v>1532</v>
      </c>
      <c r="G75" s="1"/>
      <c r="H75" s="1">
        <v>2014.0</v>
      </c>
      <c r="I75" s="1" t="s">
        <v>24</v>
      </c>
      <c r="J75" s="1" t="s">
        <v>4567</v>
      </c>
      <c r="K75" s="4" t="s">
        <v>4568</v>
      </c>
      <c r="L75" s="1" t="s">
        <v>4311</v>
      </c>
      <c r="N75" s="1" t="s">
        <v>23</v>
      </c>
    </row>
    <row r="76">
      <c r="A76" s="1">
        <v>1200.0</v>
      </c>
      <c r="B76" s="1" t="s">
        <v>4569</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4562</v>
      </c>
      <c r="E76" s="1" t="s">
        <v>4563</v>
      </c>
      <c r="F76" s="9" t="s">
        <v>368</v>
      </c>
      <c r="G76" s="1"/>
      <c r="H76" s="1">
        <v>2010.0</v>
      </c>
      <c r="I76" s="1" t="s">
        <v>24</v>
      </c>
      <c r="J76" s="1" t="s">
        <v>4570</v>
      </c>
      <c r="K76" s="4" t="s">
        <v>4571</v>
      </c>
      <c r="L76" s="1" t="s">
        <v>4311</v>
      </c>
      <c r="N76" s="1" t="s">
        <v>23</v>
      </c>
    </row>
    <row r="77">
      <c r="A77" s="1">
        <v>1200.0</v>
      </c>
      <c r="B77" s="1" t="s">
        <v>4572</v>
      </c>
      <c r="C77" s="1" t="str">
        <f>IFERROR(__xludf.DUMMYFUNCTION("GOOGLETRANSLATE(B77)"),"Overview of CAP Reform 2014-2020")</f>
        <v>Overview of CAP Reform 2014-2020</v>
      </c>
      <c r="D77" s="1" t="s">
        <v>4562</v>
      </c>
      <c r="E77" s="1" t="s">
        <v>4563</v>
      </c>
      <c r="F77" s="9" t="s">
        <v>1532</v>
      </c>
      <c r="G77" s="1"/>
      <c r="H77" s="1">
        <v>2013.0</v>
      </c>
      <c r="I77" s="1" t="s">
        <v>24</v>
      </c>
      <c r="J77" s="1" t="s">
        <v>4573</v>
      </c>
      <c r="K77" s="4" t="s">
        <v>4574</v>
      </c>
      <c r="L77" s="1" t="s">
        <v>4311</v>
      </c>
      <c r="N77" s="1" t="s">
        <v>23</v>
      </c>
    </row>
    <row r="78">
      <c r="A78" s="1">
        <v>1200.0</v>
      </c>
      <c r="B78" s="1" t="s">
        <v>4575</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4562</v>
      </c>
      <c r="E78" s="1" t="s">
        <v>4563</v>
      </c>
      <c r="F78" s="1" t="s">
        <v>4576</v>
      </c>
      <c r="G78" s="1"/>
      <c r="H78" s="1">
        <v>2020.0</v>
      </c>
      <c r="I78" s="1" t="s">
        <v>24</v>
      </c>
      <c r="J78" s="4" t="s">
        <v>4577</v>
      </c>
      <c r="K78" s="4" t="s">
        <v>4578</v>
      </c>
      <c r="L78" s="1" t="s">
        <v>4311</v>
      </c>
      <c r="N78" s="1" t="s">
        <v>326</v>
      </c>
    </row>
    <row r="79">
      <c r="A79" s="1">
        <v>1207.0</v>
      </c>
      <c r="B79" s="1" t="s">
        <v>4579</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4562</v>
      </c>
      <c r="E79" s="1" t="s">
        <v>4563</v>
      </c>
      <c r="F79" s="1" t="s">
        <v>4580</v>
      </c>
      <c r="G79" s="1"/>
      <c r="H79" s="1">
        <v>2009.0</v>
      </c>
      <c r="I79" s="1" t="s">
        <v>24</v>
      </c>
      <c r="J79" s="4" t="s">
        <v>4581</v>
      </c>
      <c r="K79" s="4" t="s">
        <v>4582</v>
      </c>
      <c r="L79" s="1" t="s">
        <v>4311</v>
      </c>
      <c r="N79" s="1" t="s">
        <v>326</v>
      </c>
    </row>
    <row r="80">
      <c r="A80" s="1">
        <v>1207.0</v>
      </c>
      <c r="B80" s="1" t="s">
        <v>4583</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4562</v>
      </c>
      <c r="E80" s="1" t="s">
        <v>4563</v>
      </c>
      <c r="F80" s="1" t="s">
        <v>4580</v>
      </c>
      <c r="G80" s="1"/>
      <c r="H80" s="1">
        <v>2009.0</v>
      </c>
      <c r="I80" s="1" t="s">
        <v>24</v>
      </c>
      <c r="J80" s="4" t="s">
        <v>4584</v>
      </c>
      <c r="K80" s="4" t="s">
        <v>4585</v>
      </c>
      <c r="L80" s="1" t="s">
        <v>4311</v>
      </c>
      <c r="N80" s="1" t="s">
        <v>326</v>
      </c>
    </row>
    <row r="81">
      <c r="A81" s="1">
        <v>1207.0</v>
      </c>
      <c r="B81" s="1" t="s">
        <v>4586</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4562</v>
      </c>
      <c r="E81" s="1" t="s">
        <v>4563</v>
      </c>
      <c r="F81" s="1" t="s">
        <v>4580</v>
      </c>
      <c r="G81" s="1"/>
      <c r="H81" s="1">
        <v>2018.0</v>
      </c>
      <c r="I81" s="1" t="s">
        <v>24</v>
      </c>
      <c r="J81" s="4" t="s">
        <v>4587</v>
      </c>
      <c r="K81" s="4" t="s">
        <v>4588</v>
      </c>
      <c r="L81" s="1" t="s">
        <v>4311</v>
      </c>
      <c r="N81" s="1" t="s">
        <v>326</v>
      </c>
    </row>
    <row r="82">
      <c r="A82" s="1">
        <v>8566.0</v>
      </c>
      <c r="B82" s="1" t="s">
        <v>4589</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4562</v>
      </c>
      <c r="E82" s="1" t="s">
        <v>4563</v>
      </c>
      <c r="F82" s="1" t="s">
        <v>4576</v>
      </c>
      <c r="G82" s="1"/>
      <c r="H82" s="1">
        <v>2009.0</v>
      </c>
      <c r="I82" s="1" t="s">
        <v>24</v>
      </c>
      <c r="J82" s="4" t="s">
        <v>4590</v>
      </c>
      <c r="K82" s="4" t="s">
        <v>4591</v>
      </c>
      <c r="L82" s="1" t="s">
        <v>4311</v>
      </c>
      <c r="N82" s="1" t="s">
        <v>326</v>
      </c>
    </row>
    <row r="83">
      <c r="A83" s="1">
        <v>8566.0</v>
      </c>
      <c r="B83" s="1" t="s">
        <v>4592</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4562</v>
      </c>
      <c r="E83" s="1" t="s">
        <v>4563</v>
      </c>
      <c r="F83" s="1" t="s">
        <v>4576</v>
      </c>
      <c r="G83" s="1"/>
      <c r="H83" s="1">
        <v>2009.0</v>
      </c>
      <c r="I83" s="1" t="s">
        <v>24</v>
      </c>
      <c r="J83" s="1" t="s">
        <v>4593</v>
      </c>
      <c r="K83" s="4" t="s">
        <v>4594</v>
      </c>
      <c r="L83" s="1" t="s">
        <v>4311</v>
      </c>
      <c r="N83" s="1" t="s">
        <v>23</v>
      </c>
    </row>
    <row r="84">
      <c r="A84" s="1">
        <v>8568.0</v>
      </c>
      <c r="B84" s="1" t="s">
        <v>4595</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4562</v>
      </c>
      <c r="E84" s="1" t="s">
        <v>4563</v>
      </c>
      <c r="F84" s="1" t="s">
        <v>247</v>
      </c>
      <c r="G84" s="1"/>
      <c r="H84" s="1">
        <v>2018.0</v>
      </c>
      <c r="I84" s="1" t="s">
        <v>24</v>
      </c>
      <c r="J84" s="4" t="s">
        <v>4596</v>
      </c>
      <c r="K84" s="4" t="s">
        <v>4597</v>
      </c>
      <c r="L84" s="1" t="s">
        <v>4311</v>
      </c>
      <c r="N84" s="1" t="s">
        <v>326</v>
      </c>
    </row>
    <row r="85">
      <c r="A85" s="1">
        <v>8568.0</v>
      </c>
      <c r="B85" s="1" t="s">
        <v>4598</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4562</v>
      </c>
      <c r="E85" s="1" t="s">
        <v>4563</v>
      </c>
      <c r="F85" s="1" t="s">
        <v>247</v>
      </c>
      <c r="G85" s="1"/>
      <c r="H85" s="1">
        <v>2018.0</v>
      </c>
      <c r="I85" s="1" t="s">
        <v>24</v>
      </c>
      <c r="J85" s="4" t="s">
        <v>4599</v>
      </c>
      <c r="K85" s="4" t="s">
        <v>4600</v>
      </c>
      <c r="L85" s="1" t="s">
        <v>4311</v>
      </c>
      <c r="N85" s="1" t="s">
        <v>326</v>
      </c>
    </row>
    <row r="86">
      <c r="A86" s="1">
        <v>8568.0</v>
      </c>
      <c r="B86" s="1" t="s">
        <v>4601</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4562</v>
      </c>
      <c r="E86" s="1" t="s">
        <v>4563</v>
      </c>
      <c r="F86" s="1" t="s">
        <v>247</v>
      </c>
      <c r="G86" s="1"/>
      <c r="H86" s="1">
        <v>2018.0</v>
      </c>
      <c r="I86" s="1" t="s">
        <v>24</v>
      </c>
      <c r="J86" s="1" t="s">
        <v>4602</v>
      </c>
      <c r="K86" s="4" t="s">
        <v>4603</v>
      </c>
      <c r="L86" s="1" t="s">
        <v>4311</v>
      </c>
      <c r="N86" s="1" t="s">
        <v>23</v>
      </c>
    </row>
    <row r="87">
      <c r="A87" s="1">
        <v>8569.0</v>
      </c>
      <c r="B87" s="1" t="s">
        <v>4604</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4562</v>
      </c>
      <c r="E87" s="1" t="s">
        <v>4563</v>
      </c>
      <c r="F87" s="1" t="s">
        <v>4576</v>
      </c>
      <c r="G87" s="1"/>
      <c r="H87" s="1">
        <v>2008.0</v>
      </c>
      <c r="I87" s="1" t="s">
        <v>24</v>
      </c>
      <c r="J87" s="4" t="s">
        <v>4605</v>
      </c>
      <c r="K87" s="4" t="s">
        <v>4606</v>
      </c>
      <c r="L87" s="1" t="s">
        <v>4311</v>
      </c>
      <c r="N87" s="1" t="s">
        <v>326</v>
      </c>
    </row>
    <row r="88">
      <c r="A88" s="1">
        <v>8569.0</v>
      </c>
      <c r="B88" s="1" t="s">
        <v>4607</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4562</v>
      </c>
      <c r="E88" s="1" t="s">
        <v>4563</v>
      </c>
      <c r="F88" s="1" t="s">
        <v>4576</v>
      </c>
      <c r="G88" s="1"/>
      <c r="H88" s="1">
        <v>2008.0</v>
      </c>
      <c r="I88" s="1" t="s">
        <v>24</v>
      </c>
      <c r="J88" s="1" t="s">
        <v>4608</v>
      </c>
      <c r="K88" s="4" t="s">
        <v>4609</v>
      </c>
      <c r="L88" s="1" t="s">
        <v>4311</v>
      </c>
      <c r="N88" s="1" t="s">
        <v>23</v>
      </c>
    </row>
    <row r="89">
      <c r="A89" s="1">
        <v>8570.0</v>
      </c>
      <c r="B89" s="1" t="s">
        <v>4610</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4562</v>
      </c>
      <c r="E89" s="1" t="s">
        <v>4563</v>
      </c>
      <c r="F89" s="1" t="s">
        <v>247</v>
      </c>
      <c r="G89" s="1"/>
      <c r="H89" s="1">
        <v>2013.0</v>
      </c>
      <c r="I89" s="1" t="s">
        <v>24</v>
      </c>
      <c r="J89" s="4" t="s">
        <v>4611</v>
      </c>
      <c r="K89" s="4" t="s">
        <v>4612</v>
      </c>
      <c r="L89" s="1" t="s">
        <v>4311</v>
      </c>
      <c r="N89" s="1" t="s">
        <v>326</v>
      </c>
    </row>
    <row r="90">
      <c r="A90" s="1">
        <v>8570.0</v>
      </c>
      <c r="B90" s="1" t="s">
        <v>4613</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4562</v>
      </c>
      <c r="E90" s="1" t="s">
        <v>4563</v>
      </c>
      <c r="F90" s="1" t="s">
        <v>247</v>
      </c>
      <c r="G90" s="1"/>
      <c r="H90" s="1">
        <v>2013.0</v>
      </c>
      <c r="I90" s="1" t="s">
        <v>24</v>
      </c>
      <c r="J90" s="1" t="s">
        <v>4614</v>
      </c>
      <c r="K90" s="4" t="s">
        <v>4615</v>
      </c>
      <c r="L90" s="1" t="s">
        <v>4311</v>
      </c>
      <c r="N90" s="1" t="s">
        <v>23</v>
      </c>
    </row>
    <row r="91">
      <c r="A91" s="1">
        <v>8571.0</v>
      </c>
      <c r="B91" s="1" t="s">
        <v>4616</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4562</v>
      </c>
      <c r="E91" s="1" t="s">
        <v>4563</v>
      </c>
      <c r="F91" s="1" t="s">
        <v>4576</v>
      </c>
      <c r="G91" s="1"/>
      <c r="H91" s="1">
        <v>2013.0</v>
      </c>
      <c r="I91" s="1" t="s">
        <v>24</v>
      </c>
      <c r="J91" s="4" t="s">
        <v>4617</v>
      </c>
      <c r="K91" s="4" t="s">
        <v>4618</v>
      </c>
      <c r="L91" s="1" t="s">
        <v>4311</v>
      </c>
      <c r="N91" s="1" t="s">
        <v>326</v>
      </c>
    </row>
    <row r="92">
      <c r="A92" s="1">
        <v>8571.0</v>
      </c>
      <c r="B92" s="1" t="s">
        <v>4619</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4562</v>
      </c>
      <c r="E92" s="1" t="s">
        <v>4563</v>
      </c>
      <c r="F92" s="1" t="s">
        <v>4576</v>
      </c>
      <c r="G92" s="1"/>
      <c r="H92" s="1">
        <v>2013.0</v>
      </c>
      <c r="I92" s="1" t="s">
        <v>24</v>
      </c>
      <c r="J92" s="1" t="s">
        <v>4620</v>
      </c>
      <c r="K92" s="4" t="s">
        <v>4621</v>
      </c>
      <c r="L92" s="1" t="s">
        <v>4311</v>
      </c>
      <c r="N92" s="1" t="s">
        <v>23</v>
      </c>
    </row>
    <row r="93">
      <c r="A93" s="1">
        <v>9369.0</v>
      </c>
      <c r="B93" s="1" t="s">
        <v>4622</v>
      </c>
      <c r="C93" s="1" t="str">
        <f>IFERROR(__xludf.DUMMYFUNCTION("GOOGLETRANSLATE(B93)"),"A European Green Deal")</f>
        <v>A European Green Deal</v>
      </c>
      <c r="D93" s="1" t="s">
        <v>4562</v>
      </c>
      <c r="E93" s="1" t="s">
        <v>4563</v>
      </c>
      <c r="F93" s="9" t="s">
        <v>234</v>
      </c>
      <c r="G93" s="1"/>
      <c r="H93" s="1">
        <v>2021.0</v>
      </c>
      <c r="I93" s="1" t="s">
        <v>24</v>
      </c>
      <c r="J93" s="1" t="s">
        <v>4623</v>
      </c>
      <c r="K93" s="4" t="s">
        <v>4624</v>
      </c>
      <c r="L93" s="1" t="s">
        <v>4311</v>
      </c>
      <c r="N93" s="1" t="s">
        <v>92</v>
      </c>
    </row>
    <row r="94">
      <c r="A94" s="1">
        <v>9369.0</v>
      </c>
      <c r="B94" s="1" t="s">
        <v>4625</v>
      </c>
      <c r="C94" s="1" t="str">
        <f>IFERROR(__xludf.DUMMYFUNCTION("GOOGLETRANSLATE(B94)"),"The European Green Deal")</f>
        <v>The European Green Deal</v>
      </c>
      <c r="D94" s="1" t="s">
        <v>4562</v>
      </c>
      <c r="E94" s="1" t="s">
        <v>4563</v>
      </c>
      <c r="F94" s="9" t="s">
        <v>234</v>
      </c>
      <c r="G94" s="1"/>
      <c r="H94" s="1">
        <v>2019.0</v>
      </c>
      <c r="I94" s="1" t="s">
        <v>24</v>
      </c>
      <c r="J94" s="4" t="s">
        <v>4626</v>
      </c>
      <c r="K94" s="4" t="s">
        <v>4627</v>
      </c>
      <c r="L94" s="1" t="s">
        <v>4311</v>
      </c>
      <c r="N94" s="1" t="s">
        <v>326</v>
      </c>
    </row>
    <row r="95">
      <c r="A95" s="1">
        <v>9519.0</v>
      </c>
      <c r="B95" s="1" t="s">
        <v>4628</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4562</v>
      </c>
      <c r="E95" s="1" t="s">
        <v>4563</v>
      </c>
      <c r="F95" s="1" t="s">
        <v>4576</v>
      </c>
      <c r="G95" s="1"/>
      <c r="H95" s="1">
        <v>2020.0</v>
      </c>
      <c r="I95" s="1" t="s">
        <v>24</v>
      </c>
      <c r="J95" s="4" t="s">
        <v>4629</v>
      </c>
      <c r="K95" s="4" t="s">
        <v>4630</v>
      </c>
      <c r="L95" s="1" t="s">
        <v>4311</v>
      </c>
      <c r="N95" s="1" t="s">
        <v>326</v>
      </c>
    </row>
    <row r="96">
      <c r="A96" s="1">
        <v>9519.0</v>
      </c>
      <c r="B96" s="1" t="s">
        <v>4631</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4562</v>
      </c>
      <c r="E96" s="1" t="s">
        <v>4563</v>
      </c>
      <c r="F96" s="1" t="s">
        <v>4576</v>
      </c>
      <c r="G96" s="1"/>
      <c r="H96" s="1">
        <v>2021.0</v>
      </c>
      <c r="I96" s="1" t="s">
        <v>24</v>
      </c>
      <c r="J96" s="4" t="s">
        <v>4632</v>
      </c>
      <c r="K96" s="4" t="s">
        <v>4633</v>
      </c>
      <c r="L96" s="1" t="s">
        <v>4311</v>
      </c>
      <c r="N96" s="1" t="s">
        <v>326</v>
      </c>
    </row>
    <row r="97">
      <c r="A97" s="1">
        <v>9519.0</v>
      </c>
      <c r="B97" s="1" t="s">
        <v>4634</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4562</v>
      </c>
      <c r="E97" s="1" t="s">
        <v>4563</v>
      </c>
      <c r="F97" s="1" t="s">
        <v>4576</v>
      </c>
      <c r="G97" s="1"/>
      <c r="H97" s="1">
        <v>2021.0</v>
      </c>
      <c r="I97" s="1" t="s">
        <v>24</v>
      </c>
      <c r="J97" s="4" t="s">
        <v>4635</v>
      </c>
      <c r="K97" s="4" t="s">
        <v>4636</v>
      </c>
      <c r="L97" s="1" t="s">
        <v>4311</v>
      </c>
      <c r="N97" s="1" t="s">
        <v>326</v>
      </c>
    </row>
    <row r="98">
      <c r="A98" s="1">
        <v>9519.0</v>
      </c>
      <c r="B98" s="1" t="s">
        <v>4637</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4562</v>
      </c>
      <c r="E98" s="1" t="s">
        <v>4563</v>
      </c>
      <c r="F98" s="1" t="s">
        <v>4576</v>
      </c>
      <c r="G98" s="1"/>
      <c r="H98" s="1">
        <v>2022.0</v>
      </c>
      <c r="I98" s="1" t="s">
        <v>24</v>
      </c>
      <c r="J98" s="1" t="s">
        <v>4638</v>
      </c>
      <c r="K98" s="4" t="s">
        <v>4639</v>
      </c>
      <c r="L98" s="1" t="s">
        <v>4311</v>
      </c>
      <c r="N98" s="1" t="s">
        <v>23</v>
      </c>
    </row>
    <row r="99">
      <c r="A99" s="1">
        <v>9520.0</v>
      </c>
      <c r="B99" s="1" t="s">
        <v>4640</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4562</v>
      </c>
      <c r="E99" s="1" t="s">
        <v>4563</v>
      </c>
      <c r="F99" s="1" t="s">
        <v>4576</v>
      </c>
      <c r="G99" s="1"/>
      <c r="H99" s="1">
        <v>2019.0</v>
      </c>
      <c r="I99" s="1" t="s">
        <v>24</v>
      </c>
      <c r="J99" s="1" t="s">
        <v>4641</v>
      </c>
      <c r="K99" s="4" t="s">
        <v>4642</v>
      </c>
      <c r="L99" s="1" t="s">
        <v>4311</v>
      </c>
      <c r="N99" s="1" t="s">
        <v>326</v>
      </c>
    </row>
    <row r="100">
      <c r="A100" s="1">
        <v>9520.0</v>
      </c>
      <c r="B100" s="1" t="s">
        <v>4628</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4562</v>
      </c>
      <c r="E100" s="1" t="s">
        <v>4563</v>
      </c>
      <c r="F100" s="1" t="s">
        <v>4576</v>
      </c>
      <c r="G100" s="1"/>
      <c r="H100" s="1">
        <v>2020.0</v>
      </c>
      <c r="I100" s="1" t="s">
        <v>24</v>
      </c>
      <c r="J100" s="4" t="s">
        <v>4643</v>
      </c>
      <c r="K100" s="4" t="s">
        <v>4644</v>
      </c>
      <c r="L100" s="1" t="s">
        <v>4311</v>
      </c>
      <c r="N100" s="1" t="s">
        <v>326</v>
      </c>
    </row>
    <row r="101">
      <c r="A101" s="1">
        <v>9635.0</v>
      </c>
      <c r="B101" s="1" t="s">
        <v>4645</v>
      </c>
      <c r="C101" s="1" t="str">
        <f>IFERROR(__xludf.DUMMYFUNCTION("GOOGLETRANSLATE(B101)"),"The EU budget powering the recovery plan for Europe")</f>
        <v>The EU budget powering the recovery plan for Europe</v>
      </c>
      <c r="D101" s="1" t="s">
        <v>4562</v>
      </c>
      <c r="E101" s="1" t="s">
        <v>4563</v>
      </c>
      <c r="F101" s="9" t="s">
        <v>234</v>
      </c>
      <c r="G101" s="1"/>
      <c r="H101" s="1">
        <v>2020.0</v>
      </c>
      <c r="I101" s="1" t="s">
        <v>24</v>
      </c>
      <c r="J101" s="4" t="s">
        <v>4646</v>
      </c>
      <c r="K101" s="4" t="s">
        <v>4647</v>
      </c>
      <c r="L101" s="1" t="s">
        <v>4311</v>
      </c>
      <c r="N101" s="1" t="s">
        <v>326</v>
      </c>
    </row>
    <row r="102">
      <c r="A102" s="1">
        <v>9635.0</v>
      </c>
      <c r="B102" s="1" t="s">
        <v>4648</v>
      </c>
      <c r="C102" s="1" t="str">
        <f>IFERROR(__xludf.DUMMYFUNCTION("GOOGLETRANSLATE(B102)"),"Special meeting of the European Council (17, 18, 19, 20 and 21 July 2020) – Conclusions")</f>
        <v>Special meeting of the European Council (17, 18, 19, 20 and 21 July 2020) – Conclusions</v>
      </c>
      <c r="D102" s="1" t="s">
        <v>4562</v>
      </c>
      <c r="E102" s="1" t="s">
        <v>4563</v>
      </c>
      <c r="F102" s="9" t="s">
        <v>1532</v>
      </c>
      <c r="G102" s="1"/>
      <c r="H102" s="1">
        <v>2020.0</v>
      </c>
      <c r="I102" s="1" t="s">
        <v>24</v>
      </c>
      <c r="J102" s="1" t="s">
        <v>4649</v>
      </c>
      <c r="K102" s="4" t="s">
        <v>4650</v>
      </c>
      <c r="L102" s="1" t="s">
        <v>4311</v>
      </c>
      <c r="N102" s="1" t="s">
        <v>23</v>
      </c>
    </row>
    <row r="103">
      <c r="A103" s="1">
        <v>9635.0</v>
      </c>
      <c r="B103" s="1" t="s">
        <v>4651</v>
      </c>
      <c r="C103" s="1" t="str">
        <f>IFERROR(__xludf.DUMMYFUNCTION("GOOGLETRANSLATE(B103)"),"A recovery plan for Europe")</f>
        <v>A recovery plan for Europe</v>
      </c>
      <c r="D103" s="1" t="s">
        <v>4562</v>
      </c>
      <c r="E103" s="1" t="s">
        <v>4563</v>
      </c>
      <c r="F103" s="1" t="s">
        <v>234</v>
      </c>
      <c r="G103" s="1"/>
      <c r="H103" s="1">
        <v>2021.0</v>
      </c>
      <c r="I103" s="1" t="s">
        <v>24</v>
      </c>
      <c r="J103" s="1" t="s">
        <v>4652</v>
      </c>
      <c r="K103" s="4" t="s">
        <v>4653</v>
      </c>
      <c r="L103" s="1" t="s">
        <v>4311</v>
      </c>
      <c r="N103" s="1" t="s">
        <v>92</v>
      </c>
    </row>
    <row r="104">
      <c r="A104" s="1">
        <v>9635.0</v>
      </c>
      <c r="B104" s="1" t="s">
        <v>4654</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4562</v>
      </c>
      <c r="E104" s="1" t="s">
        <v>4563</v>
      </c>
      <c r="F104" s="1" t="s">
        <v>4576</v>
      </c>
      <c r="G104" s="1"/>
      <c r="H104" s="1">
        <v>2021.0</v>
      </c>
      <c r="I104" s="1" t="s">
        <v>24</v>
      </c>
      <c r="J104" s="4" t="s">
        <v>4655</v>
      </c>
      <c r="K104" s="4" t="s">
        <v>4656</v>
      </c>
      <c r="L104" s="1" t="s">
        <v>4311</v>
      </c>
      <c r="N104" s="1" t="s">
        <v>326</v>
      </c>
    </row>
    <row r="105">
      <c r="A105" s="1">
        <v>9693.0</v>
      </c>
      <c r="B105" s="1" t="s">
        <v>4657</v>
      </c>
      <c r="C105" s="1" t="str">
        <f>IFERROR(__xludf.DUMMYFUNCTION("GOOGLETRANSLATE(B105)"),"A European Strategy for Low-Emission Mobility")</f>
        <v>A European Strategy for Low-Emission Mobility</v>
      </c>
      <c r="D105" s="1" t="s">
        <v>4562</v>
      </c>
      <c r="E105" s="1" t="s">
        <v>4563</v>
      </c>
      <c r="F105" s="1" t="s">
        <v>144</v>
      </c>
      <c r="G105" s="1"/>
      <c r="H105" s="1">
        <v>2016.0</v>
      </c>
      <c r="I105" s="1" t="s">
        <v>24</v>
      </c>
      <c r="J105" s="1" t="s">
        <v>4658</v>
      </c>
      <c r="K105" s="4" t="s">
        <v>4659</v>
      </c>
      <c r="L105" s="1" t="s">
        <v>4311</v>
      </c>
      <c r="N105" s="1" t="s">
        <v>23</v>
      </c>
    </row>
    <row r="106">
      <c r="A106" s="9">
        <v>9693.0</v>
      </c>
      <c r="B106" s="9" t="s">
        <v>4660</v>
      </c>
      <c r="C106" s="9" t="str">
        <f>IFERROR(__xludf.DUMMYFUNCTION("GOOGLETRANSLATE(B106)"),"A European Strategy for Low-Emission Mobility: Communication")</f>
        <v>A European Strategy for Low-Emission Mobility: Communication</v>
      </c>
      <c r="D106" s="9" t="s">
        <v>4562</v>
      </c>
      <c r="E106" s="9" t="s">
        <v>4563</v>
      </c>
      <c r="F106" s="9" t="s">
        <v>144</v>
      </c>
      <c r="G106" s="9"/>
      <c r="H106" s="9">
        <v>2016.0</v>
      </c>
      <c r="I106" s="9" t="s">
        <v>24</v>
      </c>
      <c r="J106" s="24" t="s">
        <v>4661</v>
      </c>
      <c r="K106" s="24" t="s">
        <v>4662</v>
      </c>
      <c r="L106" s="9" t="s">
        <v>4311</v>
      </c>
      <c r="M106" s="3"/>
      <c r="N106" s="9" t="s">
        <v>326</v>
      </c>
      <c r="O106" s="9"/>
      <c r="P106" s="3"/>
      <c r="Q106" s="3"/>
      <c r="R106" s="3"/>
      <c r="S106" s="3"/>
      <c r="T106" s="3"/>
      <c r="U106" s="3"/>
      <c r="V106" s="3"/>
      <c r="W106" s="3"/>
      <c r="X106" s="3"/>
      <c r="Y106" s="3"/>
      <c r="Z106" s="3"/>
      <c r="AA106" s="3"/>
      <c r="AB106" s="3"/>
    </row>
    <row r="107">
      <c r="A107" s="1">
        <v>9694.0</v>
      </c>
      <c r="B107" s="1" t="s">
        <v>4663</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4562</v>
      </c>
      <c r="E107" s="1" t="s">
        <v>4563</v>
      </c>
      <c r="F107" s="1" t="s">
        <v>4580</v>
      </c>
      <c r="G107" s="1"/>
      <c r="H107" s="1">
        <v>2018.0</v>
      </c>
      <c r="I107" s="1" t="s">
        <v>24</v>
      </c>
      <c r="J107" s="4" t="s">
        <v>4664</v>
      </c>
      <c r="K107" s="4" t="s">
        <v>4665</v>
      </c>
      <c r="L107" s="1" t="s">
        <v>4311</v>
      </c>
      <c r="N107" s="1" t="s">
        <v>326</v>
      </c>
    </row>
    <row r="108">
      <c r="A108" s="1">
        <v>9694.0</v>
      </c>
      <c r="B108" s="1" t="s">
        <v>4666</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4562</v>
      </c>
      <c r="E108" s="1" t="s">
        <v>4563</v>
      </c>
      <c r="F108" s="1" t="s">
        <v>4576</v>
      </c>
      <c r="G108" s="1"/>
      <c r="H108" s="1">
        <v>2019.0</v>
      </c>
      <c r="I108" s="1" t="s">
        <v>24</v>
      </c>
      <c r="J108" s="4" t="s">
        <v>4667</v>
      </c>
      <c r="K108" s="4" t="s">
        <v>4668</v>
      </c>
      <c r="L108" s="1" t="s">
        <v>4311</v>
      </c>
      <c r="M108" s="1" t="s">
        <v>4669</v>
      </c>
      <c r="N108" s="1" t="s">
        <v>326</v>
      </c>
    </row>
    <row r="109">
      <c r="A109" s="1">
        <v>9987.0</v>
      </c>
      <c r="B109" s="1" t="s">
        <v>4670</v>
      </c>
      <c r="C109" s="1" t="str">
        <f>IFERROR(__xludf.DUMMYFUNCTION("GOOGLETRANSLATE(B109)"),"Action Plan: Financing Sustainable Growth")</f>
        <v>Action Plan: Financing Sustainable Growth</v>
      </c>
      <c r="D109" s="1" t="s">
        <v>4562</v>
      </c>
      <c r="E109" s="1" t="s">
        <v>4563</v>
      </c>
      <c r="F109" s="1" t="s">
        <v>368</v>
      </c>
      <c r="G109" s="1"/>
      <c r="H109" s="1">
        <v>2018.0</v>
      </c>
      <c r="I109" s="1" t="s">
        <v>24</v>
      </c>
      <c r="J109" s="4" t="s">
        <v>4671</v>
      </c>
      <c r="K109" s="4" t="s">
        <v>4672</v>
      </c>
      <c r="L109" s="1" t="s">
        <v>4311</v>
      </c>
      <c r="M109" s="1" t="s">
        <v>4669</v>
      </c>
      <c r="N109" s="1" t="s">
        <v>326</v>
      </c>
    </row>
    <row r="110">
      <c r="A110" s="1">
        <v>9987.0</v>
      </c>
      <c r="B110" s="1" t="s">
        <v>4673</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4562</v>
      </c>
      <c r="E110" s="1" t="s">
        <v>4563</v>
      </c>
      <c r="F110" s="1" t="s">
        <v>144</v>
      </c>
      <c r="G110" s="1"/>
      <c r="H110" s="1">
        <v>2018.0</v>
      </c>
      <c r="I110" s="1" t="s">
        <v>24</v>
      </c>
      <c r="J110" s="1" t="s">
        <v>4674</v>
      </c>
      <c r="K110" s="4" t="s">
        <v>4675</v>
      </c>
      <c r="L110" s="1" t="s">
        <v>4311</v>
      </c>
      <c r="N110" s="1" t="s">
        <v>92</v>
      </c>
    </row>
    <row r="111">
      <c r="A111" s="1">
        <v>10389.0</v>
      </c>
      <c r="B111" s="1" t="s">
        <v>4676</v>
      </c>
      <c r="C111" s="1" t="str">
        <f>IFERROR(__xludf.DUMMYFUNCTION("GOOGLETRANSLATE(B111)"),"Global Gateway - website")</f>
        <v>Global Gateway - website</v>
      </c>
      <c r="D111" s="1" t="s">
        <v>4562</v>
      </c>
      <c r="E111" s="1" t="s">
        <v>4563</v>
      </c>
      <c r="F111" s="1" t="s">
        <v>234</v>
      </c>
      <c r="G111" s="1"/>
      <c r="H111" s="1">
        <v>2021.0</v>
      </c>
      <c r="I111" s="1" t="s">
        <v>24</v>
      </c>
      <c r="J111" s="1" t="s">
        <v>4677</v>
      </c>
      <c r="K111" s="4" t="s">
        <v>4678</v>
      </c>
      <c r="L111" s="1" t="s">
        <v>4311</v>
      </c>
      <c r="N111" s="1" t="s">
        <v>92</v>
      </c>
    </row>
    <row r="112">
      <c r="A112" s="1">
        <v>10389.0</v>
      </c>
      <c r="B112" s="201" t="s">
        <v>4679</v>
      </c>
      <c r="C112" s="1" t="str">
        <f>IFERROR(__xludf.DUMMYFUNCTION("GOOGLETRANSLATE(B112)"),"The Global Gateway")</f>
        <v>The Global Gateway</v>
      </c>
      <c r="D112" s="1" t="s">
        <v>4562</v>
      </c>
      <c r="E112" s="1" t="s">
        <v>4563</v>
      </c>
      <c r="F112" s="1" t="s">
        <v>234</v>
      </c>
      <c r="G112" s="1"/>
      <c r="H112" s="1">
        <v>2021.0</v>
      </c>
      <c r="I112" s="1" t="s">
        <v>24</v>
      </c>
      <c r="J112" s="1" t="s">
        <v>4680</v>
      </c>
      <c r="K112" s="4" t="s">
        <v>4681</v>
      </c>
      <c r="L112" s="1" t="s">
        <v>4311</v>
      </c>
      <c r="N112" s="1" t="s">
        <v>23</v>
      </c>
    </row>
    <row r="113">
      <c r="A113" s="1">
        <v>1220.0</v>
      </c>
      <c r="B113" s="1" t="s">
        <v>4682</v>
      </c>
      <c r="C113" s="1" t="str">
        <f>IFERROR(__xludf.DUMMYFUNCTION("GOOGLETRANSLATE(B113)"),"Climate Change Act")</f>
        <v>Climate Change Act</v>
      </c>
      <c r="D113" s="1" t="s">
        <v>4683</v>
      </c>
      <c r="E113" s="1" t="s">
        <v>4684</v>
      </c>
      <c r="F113" s="1" t="s">
        <v>45</v>
      </c>
      <c r="G113" s="1"/>
      <c r="H113" s="1">
        <v>2015.0</v>
      </c>
      <c r="I113" s="1" t="s">
        <v>24</v>
      </c>
      <c r="J113" s="1" t="s">
        <v>4685</v>
      </c>
      <c r="K113" s="4" t="s">
        <v>4686</v>
      </c>
      <c r="L113" s="1" t="s">
        <v>4311</v>
      </c>
      <c r="N113" s="1" t="s">
        <v>23</v>
      </c>
    </row>
    <row r="114">
      <c r="A114" s="9">
        <v>1220.0</v>
      </c>
      <c r="B114" s="3"/>
      <c r="C114" s="9" t="str">
        <f>IFERROR(__xludf.DUMMYFUNCTION("GOOGLETRANSLATE(B114)"),"#VALUE!")</f>
        <v>#VALUE!</v>
      </c>
      <c r="D114" s="9" t="s">
        <v>4683</v>
      </c>
      <c r="E114" s="9" t="s">
        <v>4684</v>
      </c>
      <c r="F114" s="3"/>
      <c r="G114" s="3"/>
      <c r="H114" s="3"/>
      <c r="I114" s="3"/>
      <c r="J114" s="9" t="s">
        <v>4687</v>
      </c>
      <c r="K114" s="24" t="s">
        <v>4688</v>
      </c>
      <c r="L114" s="9" t="s">
        <v>4311</v>
      </c>
      <c r="M114" s="3"/>
      <c r="N114" s="9" t="s">
        <v>229</v>
      </c>
      <c r="O114" s="9" t="s">
        <v>4689</v>
      </c>
      <c r="P114" s="3"/>
      <c r="Q114" s="3"/>
      <c r="R114" s="3"/>
      <c r="S114" s="3"/>
      <c r="T114" s="3"/>
      <c r="U114" s="3"/>
      <c r="V114" s="3"/>
      <c r="W114" s="3"/>
      <c r="X114" s="3"/>
      <c r="Y114" s="3"/>
      <c r="Z114" s="3"/>
      <c r="AA114" s="3"/>
      <c r="AB114" s="3"/>
    </row>
    <row r="115">
      <c r="A115" s="1">
        <v>1223.0</v>
      </c>
      <c r="B115" s="1" t="s">
        <v>4690</v>
      </c>
      <c r="C115" s="1" t="str">
        <f>IFERROR(__xludf.DUMMYFUNCTION("GOOGLETRANSLATE(B115)"),"Law on Air Traffic Trading")</f>
        <v>Law on Air Traffic Trading</v>
      </c>
      <c r="D115" s="1" t="s">
        <v>4683</v>
      </c>
      <c r="E115" s="1" t="s">
        <v>4684</v>
      </c>
      <c r="F115" s="1" t="s">
        <v>41</v>
      </c>
      <c r="G115" s="1"/>
      <c r="H115" s="1">
        <v>2010.0</v>
      </c>
      <c r="I115" s="1" t="s">
        <v>24</v>
      </c>
      <c r="J115" s="1" t="s">
        <v>4691</v>
      </c>
      <c r="K115" s="4" t="s">
        <v>4692</v>
      </c>
      <c r="L115" s="1" t="s">
        <v>4311</v>
      </c>
      <c r="N115" s="1" t="s">
        <v>23</v>
      </c>
    </row>
    <row r="116">
      <c r="A116" s="1">
        <v>1223.0</v>
      </c>
      <c r="B116" s="1" t="s">
        <v>4693</v>
      </c>
      <c r="C116" s="1" t="str">
        <f>IFERROR(__xludf.DUMMYFUNCTION("GOOGLETRANSLATE(B116)"),"Act on Aviation Emissions Trading (including amendments up to 2015)")</f>
        <v>Act on Aviation Emissions Trading (including amendments up to 2015)</v>
      </c>
      <c r="D116" s="1" t="s">
        <v>4683</v>
      </c>
      <c r="E116" s="1" t="s">
        <v>4684</v>
      </c>
      <c r="F116" s="1" t="s">
        <v>45</v>
      </c>
      <c r="G116" s="1"/>
      <c r="H116" s="1">
        <v>2015.0</v>
      </c>
      <c r="I116" s="1" t="s">
        <v>24</v>
      </c>
      <c r="J116" s="1" t="s">
        <v>4694</v>
      </c>
      <c r="K116" s="4" t="s">
        <v>4695</v>
      </c>
      <c r="L116" s="1" t="s">
        <v>4311</v>
      </c>
      <c r="N116" s="1" t="s">
        <v>23</v>
      </c>
    </row>
    <row r="117">
      <c r="A117" s="1">
        <v>1223.0</v>
      </c>
      <c r="B117" s="1" t="s">
        <v>4693</v>
      </c>
      <c r="C117" s="1" t="str">
        <f>IFERROR(__xludf.DUMMYFUNCTION("GOOGLETRANSLATE(B117)"),"Act on Aviation Emissions Trading (including amendments up to 2015)")</f>
        <v>Act on Aviation Emissions Trading (including amendments up to 2015)</v>
      </c>
      <c r="D117" s="1" t="s">
        <v>4683</v>
      </c>
      <c r="E117" s="1" t="s">
        <v>4684</v>
      </c>
      <c r="F117" s="1" t="s">
        <v>45</v>
      </c>
      <c r="G117" s="1"/>
      <c r="H117" s="1">
        <v>2015.0</v>
      </c>
      <c r="I117" s="1" t="s">
        <v>24</v>
      </c>
      <c r="J117" s="1" t="s">
        <v>4696</v>
      </c>
      <c r="K117" s="4" t="s">
        <v>4697</v>
      </c>
      <c r="L117" s="1" t="s">
        <v>4311</v>
      </c>
      <c r="N117" s="1" t="s">
        <v>23</v>
      </c>
    </row>
    <row r="118">
      <c r="A118" s="1">
        <v>1224.0</v>
      </c>
      <c r="B118" s="1" t="s">
        <v>4698</v>
      </c>
      <c r="C118" s="1" t="s">
        <v>4699</v>
      </c>
      <c r="D118" s="1" t="s">
        <v>4683</v>
      </c>
      <c r="E118" s="1" t="s">
        <v>4684</v>
      </c>
      <c r="F118" s="1" t="s">
        <v>45</v>
      </c>
      <c r="G118" s="1"/>
      <c r="H118" s="1">
        <v>2010.0</v>
      </c>
      <c r="I118" s="1" t="s">
        <v>4700</v>
      </c>
      <c r="J118" s="1" t="s">
        <v>4701</v>
      </c>
      <c r="K118" s="4" t="s">
        <v>4702</v>
      </c>
      <c r="L118" s="1" t="s">
        <v>4311</v>
      </c>
      <c r="N118" s="1" t="s">
        <v>23</v>
      </c>
    </row>
    <row r="119">
      <c r="A119" s="1">
        <v>1224.0</v>
      </c>
      <c r="B119" s="1" t="s">
        <v>4699</v>
      </c>
      <c r="C119" s="1" t="str">
        <f>IFERROR(__xludf.DUMMYFUNCTION("GOOGLETRANSLATE(B119)"),"Flood Risk Management Act")</f>
        <v>Flood Risk Management Act</v>
      </c>
      <c r="D119" s="1" t="s">
        <v>4683</v>
      </c>
      <c r="E119" s="1" t="s">
        <v>4684</v>
      </c>
      <c r="F119" s="1" t="s">
        <v>45</v>
      </c>
      <c r="G119" s="1"/>
      <c r="H119" s="1">
        <v>2010.0</v>
      </c>
      <c r="I119" s="1" t="s">
        <v>24</v>
      </c>
      <c r="J119" s="1" t="s">
        <v>4703</v>
      </c>
      <c r="K119" s="4" t="s">
        <v>4704</v>
      </c>
      <c r="L119" s="1" t="s">
        <v>4311</v>
      </c>
      <c r="N119" s="1" t="s">
        <v>23</v>
      </c>
    </row>
    <row r="120">
      <c r="A120" s="1">
        <v>1226.0</v>
      </c>
      <c r="B120" s="1" t="s">
        <v>4705</v>
      </c>
      <c r="C120" s="1" t="s">
        <v>4706</v>
      </c>
      <c r="D120" s="1" t="s">
        <v>4683</v>
      </c>
      <c r="E120" s="1" t="s">
        <v>4684</v>
      </c>
      <c r="F120" s="1" t="s">
        <v>45</v>
      </c>
      <c r="G120" s="1"/>
      <c r="H120" s="1">
        <v>2003.0</v>
      </c>
      <c r="I120" s="1" t="s">
        <v>4700</v>
      </c>
      <c r="J120" s="1" t="s">
        <v>4707</v>
      </c>
      <c r="K120" s="4" t="s">
        <v>4708</v>
      </c>
      <c r="L120" s="1" t="s">
        <v>4311</v>
      </c>
      <c r="N120" s="1" t="s">
        <v>23</v>
      </c>
    </row>
    <row r="121">
      <c r="A121" s="1">
        <v>1226.0</v>
      </c>
      <c r="B121" s="1" t="s">
        <v>4706</v>
      </c>
      <c r="C121" s="1" t="str">
        <f>IFERROR(__xludf.DUMMYFUNCTION("GOOGLETRANSLATE(B121)"),"Act on Verification and Notification of the Origin of Electricity")</f>
        <v>Act on Verification and Notification of the Origin of Electricity</v>
      </c>
      <c r="D121" s="1" t="s">
        <v>4683</v>
      </c>
      <c r="E121" s="1" t="s">
        <v>4684</v>
      </c>
      <c r="F121" s="1" t="s">
        <v>45</v>
      </c>
      <c r="G121" s="1"/>
      <c r="H121" s="1">
        <v>2003.0</v>
      </c>
      <c r="I121" s="1" t="s">
        <v>24</v>
      </c>
      <c r="J121" s="1" t="s">
        <v>4709</v>
      </c>
      <c r="K121" s="4" t="s">
        <v>4710</v>
      </c>
      <c r="L121" s="1" t="s">
        <v>4311</v>
      </c>
      <c r="N121" s="1" t="s">
        <v>23</v>
      </c>
    </row>
    <row r="122">
      <c r="A122" s="1">
        <v>1227.0</v>
      </c>
      <c r="B122" s="1" t="s">
        <v>4711</v>
      </c>
      <c r="C122" s="1" t="str">
        <f>IFERROR(__xludf.DUMMYFUNCTION("GOOGLETRANSLATE(B122)"),"Land Use and Building Act")</f>
        <v>Land Use and Building Act</v>
      </c>
      <c r="D122" s="1" t="s">
        <v>4683</v>
      </c>
      <c r="E122" s="1" t="s">
        <v>4684</v>
      </c>
      <c r="F122" s="1" t="s">
        <v>45</v>
      </c>
      <c r="G122" s="1"/>
      <c r="H122" s="1">
        <v>1999.0</v>
      </c>
      <c r="I122" s="1" t="s">
        <v>4700</v>
      </c>
      <c r="J122" s="1" t="s">
        <v>4712</v>
      </c>
      <c r="K122" s="4" t="s">
        <v>4713</v>
      </c>
      <c r="L122" s="1" t="s">
        <v>4311</v>
      </c>
      <c r="N122" s="1" t="s">
        <v>23</v>
      </c>
    </row>
    <row r="123">
      <c r="A123" s="1">
        <v>1227.0</v>
      </c>
      <c r="B123" s="1" t="s">
        <v>4714</v>
      </c>
      <c r="C123" s="1" t="str">
        <f>IFERROR(__xludf.DUMMYFUNCTION("GOOGLETRANSLATE(B123)"),"Land Use and Building Act (including 2003 amendment)")</f>
        <v>Land Use and Building Act (including 2003 amendment)</v>
      </c>
      <c r="D123" s="1" t="s">
        <v>4683</v>
      </c>
      <c r="E123" s="1" t="s">
        <v>4684</v>
      </c>
      <c r="F123" s="1" t="s">
        <v>45</v>
      </c>
      <c r="G123" s="1"/>
      <c r="H123" s="1">
        <v>2003.0</v>
      </c>
      <c r="I123" s="1" t="s">
        <v>24</v>
      </c>
      <c r="J123" s="1" t="s">
        <v>4715</v>
      </c>
      <c r="K123" s="4" t="s">
        <v>4716</v>
      </c>
      <c r="L123" s="1" t="s">
        <v>4311</v>
      </c>
      <c r="N123" s="1" t="s">
        <v>23</v>
      </c>
    </row>
    <row r="124">
      <c r="A124" s="1">
        <v>9483.0</v>
      </c>
      <c r="B124" s="1" t="s">
        <v>4717</v>
      </c>
      <c r="C124" s="1" t="str">
        <f>IFERROR(__xludf.DUMMYFUNCTION("GOOGLETRANSLATE(B124)"),"Content of the draft budget")</f>
        <v>Content of the draft budget</v>
      </c>
      <c r="D124" s="1" t="s">
        <v>4683</v>
      </c>
      <c r="E124" s="1" t="s">
        <v>4684</v>
      </c>
      <c r="F124" s="9" t="s">
        <v>1532</v>
      </c>
      <c r="G124" s="3"/>
      <c r="H124" s="3"/>
      <c r="I124" s="1" t="s">
        <v>4700</v>
      </c>
      <c r="J124" s="1" t="s">
        <v>4718</v>
      </c>
      <c r="K124" s="4" t="s">
        <v>4719</v>
      </c>
      <c r="L124" s="1" t="s">
        <v>4311</v>
      </c>
      <c r="N124" s="1" t="s">
        <v>726</v>
      </c>
      <c r="O124" s="1" t="s">
        <v>4720</v>
      </c>
    </row>
    <row r="125">
      <c r="A125" s="1">
        <v>9483.0</v>
      </c>
      <c r="B125" s="1" t="s">
        <v>4721</v>
      </c>
      <c r="C125" s="1" t="str">
        <f>IFERROR(__xludf.DUMMYFUNCTION("GOOGLETRANSLATE(B125)"),"Entries to the meeting minutes, Government’s fourth supplementary budget")</f>
        <v>Entries to the meeting minutes, Government’s fourth supplementary budget</v>
      </c>
      <c r="D125" s="1" t="s">
        <v>4683</v>
      </c>
      <c r="E125" s="1" t="s">
        <v>4684</v>
      </c>
      <c r="F125" s="9" t="s">
        <v>1532</v>
      </c>
      <c r="G125" s="1"/>
      <c r="H125" s="1">
        <v>2020.0</v>
      </c>
      <c r="I125" s="1" t="s">
        <v>24</v>
      </c>
      <c r="J125" s="1" t="s">
        <v>4722</v>
      </c>
      <c r="K125" s="4" t="s">
        <v>4723</v>
      </c>
      <c r="L125" s="1" t="s">
        <v>4311</v>
      </c>
      <c r="N125" s="1" t="s">
        <v>23</v>
      </c>
      <c r="O125" s="1" t="s">
        <v>4720</v>
      </c>
    </row>
    <row r="126">
      <c r="A126" s="1">
        <v>10498.0</v>
      </c>
      <c r="B126" s="1" t="s">
        <v>4724</v>
      </c>
      <c r="C126" s="1" t="str">
        <f>IFERROR(__xludf.DUMMYFUNCTION("GOOGLETRANSLATE(B126)"),"Finland’s recovery and resilience plan")</f>
        <v>Finland’s recovery and resilience plan</v>
      </c>
      <c r="D126" s="1" t="s">
        <v>4683</v>
      </c>
      <c r="E126" s="1" t="s">
        <v>4684</v>
      </c>
      <c r="F126" s="1" t="s">
        <v>234</v>
      </c>
      <c r="G126" s="1"/>
      <c r="H126" s="1">
        <v>2021.0</v>
      </c>
      <c r="I126" s="1" t="s">
        <v>24</v>
      </c>
      <c r="J126" s="1" t="s">
        <v>4725</v>
      </c>
      <c r="K126" s="4" t="s">
        <v>4726</v>
      </c>
      <c r="L126" s="1" t="s">
        <v>4311</v>
      </c>
      <c r="N126" s="1" t="s">
        <v>92</v>
      </c>
    </row>
    <row r="127">
      <c r="A127" s="1">
        <v>10498.0</v>
      </c>
      <c r="B127" s="1" t="s">
        <v>4727</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4683</v>
      </c>
      <c r="E127" s="1" t="s">
        <v>4684</v>
      </c>
      <c r="F127" s="1" t="s">
        <v>247</v>
      </c>
      <c r="G127" s="1"/>
      <c r="H127" s="1">
        <v>2021.0</v>
      </c>
      <c r="I127" s="1" t="s">
        <v>24</v>
      </c>
      <c r="J127" s="1" t="s">
        <v>4728</v>
      </c>
      <c r="K127" s="4" t="s">
        <v>4729</v>
      </c>
      <c r="L127" s="1" t="s">
        <v>4311</v>
      </c>
      <c r="N127" s="1" t="s">
        <v>92</v>
      </c>
    </row>
    <row r="128">
      <c r="A128" s="1">
        <v>10498.0</v>
      </c>
      <c r="B128" s="1" t="s">
        <v>4730</v>
      </c>
      <c r="C128" s="1" t="str">
        <f>IFERROR(__xludf.DUMMYFUNCTION("GOOGLETRANSLATE(B128)"),"Finnish Sustainable Growth Program: Recovery and Recovery Plan")</f>
        <v>Finnish Sustainable Growth Program: Recovery and Recovery Plan</v>
      </c>
      <c r="D128" s="1" t="s">
        <v>4683</v>
      </c>
      <c r="E128" s="1" t="s">
        <v>4684</v>
      </c>
      <c r="F128" s="1" t="s">
        <v>234</v>
      </c>
      <c r="G128" s="1"/>
      <c r="H128" s="1">
        <v>2021.0</v>
      </c>
      <c r="I128" s="1" t="s">
        <v>4700</v>
      </c>
      <c r="J128" s="1" t="s">
        <v>4731</v>
      </c>
      <c r="K128" s="4" t="s">
        <v>4732</v>
      </c>
      <c r="L128" s="1" t="s">
        <v>4311</v>
      </c>
      <c r="N128" s="1" t="s">
        <v>839</v>
      </c>
    </row>
    <row r="129">
      <c r="A129" s="1">
        <v>1229.0</v>
      </c>
      <c r="B129" s="1" t="s">
        <v>4733</v>
      </c>
      <c r="C129" s="1" t="str">
        <f>IFERROR(__xludf.DUMMYFUNCTION("GOOGLETRANSLATE(B129)"),"Climate plan")</f>
        <v>Climate plan</v>
      </c>
      <c r="D129" s="1" t="s">
        <v>1324</v>
      </c>
      <c r="E129" s="1" t="s">
        <v>1325</v>
      </c>
      <c r="F129" s="1" t="s">
        <v>234</v>
      </c>
      <c r="G129" s="1"/>
      <c r="H129" s="1">
        <v>2017.0</v>
      </c>
      <c r="I129" s="1" t="s">
        <v>811</v>
      </c>
      <c r="J129" s="1" t="s">
        <v>4734</v>
      </c>
      <c r="K129" s="4" t="s">
        <v>4735</v>
      </c>
      <c r="L129" s="1" t="s">
        <v>4311</v>
      </c>
      <c r="N129" s="1" t="s">
        <v>23</v>
      </c>
    </row>
    <row r="130">
      <c r="A130" s="1">
        <v>1229.0</v>
      </c>
      <c r="B130" s="1" t="s">
        <v>4736</v>
      </c>
      <c r="C130" s="1" t="str">
        <f>IFERROR(__xludf.DUMMYFUNCTION("GOOGLETRANSLATE(B130)"),"Climate Plan")</f>
        <v>Climate Plan</v>
      </c>
      <c r="D130" s="1" t="s">
        <v>1324</v>
      </c>
      <c r="E130" s="1" t="s">
        <v>1325</v>
      </c>
      <c r="F130" s="1" t="s">
        <v>234</v>
      </c>
      <c r="G130" s="1"/>
      <c r="H130" s="1">
        <v>2017.0</v>
      </c>
      <c r="I130" s="1" t="s">
        <v>24</v>
      </c>
      <c r="J130" s="1" t="s">
        <v>4737</v>
      </c>
      <c r="K130" s="4" t="s">
        <v>4738</v>
      </c>
      <c r="L130" s="1" t="s">
        <v>4311</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4739</v>
      </c>
      <c r="C2" s="29" t="s">
        <v>432</v>
      </c>
      <c r="D2" s="29" t="s">
        <v>1093</v>
      </c>
      <c r="E2" s="29" t="s">
        <v>1094</v>
      </c>
      <c r="F2" s="30"/>
      <c r="G2" s="29" t="s">
        <v>441</v>
      </c>
      <c r="H2" s="29" t="s">
        <v>573</v>
      </c>
      <c r="I2" s="29" t="s">
        <v>234</v>
      </c>
      <c r="J2" s="30"/>
      <c r="K2" s="29" t="s">
        <v>1731</v>
      </c>
      <c r="L2" s="29" t="s">
        <v>459</v>
      </c>
      <c r="M2" s="29" t="s">
        <v>528</v>
      </c>
      <c r="N2" s="29"/>
      <c r="O2" s="29"/>
      <c r="P2" s="29" t="s">
        <v>4740</v>
      </c>
    </row>
    <row r="3">
      <c r="A3" s="28">
        <v>8682.0</v>
      </c>
      <c r="B3" s="29" t="s">
        <v>4741</v>
      </c>
      <c r="C3" s="29" t="s">
        <v>432</v>
      </c>
      <c r="D3" s="29" t="s">
        <v>1093</v>
      </c>
      <c r="E3" s="29" t="s">
        <v>1094</v>
      </c>
      <c r="F3" s="30"/>
      <c r="G3" s="29" t="s">
        <v>450</v>
      </c>
      <c r="H3" s="29" t="s">
        <v>1221</v>
      </c>
      <c r="I3" s="29" t="s">
        <v>407</v>
      </c>
      <c r="J3" s="30"/>
      <c r="K3" s="29" t="s">
        <v>450</v>
      </c>
      <c r="L3" s="29" t="s">
        <v>4742</v>
      </c>
      <c r="M3" s="29" t="s">
        <v>4743</v>
      </c>
      <c r="N3" s="29"/>
      <c r="O3" s="29"/>
      <c r="P3" s="29" t="s">
        <v>4744</v>
      </c>
    </row>
    <row r="4">
      <c r="A4" s="28">
        <v>8696.0</v>
      </c>
      <c r="B4" s="29" t="s">
        <v>4745</v>
      </c>
      <c r="C4" s="29" t="s">
        <v>449</v>
      </c>
      <c r="D4" s="29" t="s">
        <v>1093</v>
      </c>
      <c r="E4" s="29" t="s">
        <v>1094</v>
      </c>
      <c r="F4" s="30"/>
      <c r="G4" s="29" t="s">
        <v>441</v>
      </c>
      <c r="H4" s="29" t="s">
        <v>526</v>
      </c>
      <c r="I4" s="29" t="s">
        <v>41</v>
      </c>
      <c r="J4" s="30"/>
      <c r="K4" s="29" t="s">
        <v>4110</v>
      </c>
      <c r="L4" s="29" t="s">
        <v>476</v>
      </c>
      <c r="M4" s="29" t="s">
        <v>4746</v>
      </c>
      <c r="N4" s="29"/>
      <c r="O4" s="29"/>
      <c r="P4" s="29" t="s">
        <v>4747</v>
      </c>
    </row>
    <row r="5">
      <c r="A5" s="28">
        <v>9326.0</v>
      </c>
      <c r="B5" s="29" t="s">
        <v>4748</v>
      </c>
      <c r="C5" s="29" t="s">
        <v>432</v>
      </c>
      <c r="D5" s="29" t="s">
        <v>1093</v>
      </c>
      <c r="E5" s="29" t="s">
        <v>1094</v>
      </c>
      <c r="F5" s="30"/>
      <c r="G5" s="29" t="s">
        <v>441</v>
      </c>
      <c r="H5" s="29" t="s">
        <v>434</v>
      </c>
      <c r="I5" s="29" t="s">
        <v>18</v>
      </c>
      <c r="J5" s="30"/>
      <c r="K5" s="29" t="s">
        <v>4749</v>
      </c>
      <c r="L5" s="29" t="s">
        <v>1727</v>
      </c>
      <c r="M5" s="29" t="s">
        <v>4750</v>
      </c>
      <c r="N5" s="29"/>
      <c r="O5" s="29"/>
      <c r="P5" s="29" t="s">
        <v>4751</v>
      </c>
    </row>
    <row r="6">
      <c r="A6" s="28">
        <v>9412.0</v>
      </c>
      <c r="B6" s="29" t="s">
        <v>4752</v>
      </c>
      <c r="C6" s="29" t="s">
        <v>432</v>
      </c>
      <c r="D6" s="29" t="s">
        <v>1093</v>
      </c>
      <c r="E6" s="29" t="s">
        <v>1094</v>
      </c>
      <c r="F6" s="30"/>
      <c r="G6" s="29" t="s">
        <v>441</v>
      </c>
      <c r="H6" s="29" t="s">
        <v>634</v>
      </c>
      <c r="I6" s="29" t="s">
        <v>234</v>
      </c>
      <c r="J6" s="30"/>
      <c r="K6" s="30"/>
      <c r="L6" s="29" t="s">
        <v>4753</v>
      </c>
      <c r="M6" s="29" t="s">
        <v>4754</v>
      </c>
      <c r="N6" s="29"/>
      <c r="O6" s="29"/>
      <c r="P6" s="29" t="s">
        <v>4755</v>
      </c>
    </row>
    <row r="7">
      <c r="A7" s="28">
        <v>10135.0</v>
      </c>
      <c r="B7" s="29" t="s">
        <v>4756</v>
      </c>
      <c r="C7" s="29" t="s">
        <v>432</v>
      </c>
      <c r="D7" s="29" t="s">
        <v>1093</v>
      </c>
      <c r="E7" s="29" t="s">
        <v>1094</v>
      </c>
      <c r="F7" s="30"/>
      <c r="G7" s="29" t="s">
        <v>441</v>
      </c>
      <c r="H7" s="29" t="s">
        <v>434</v>
      </c>
      <c r="I7" s="29" t="s">
        <v>368</v>
      </c>
      <c r="J7" s="30"/>
      <c r="K7" s="29" t="s">
        <v>620</v>
      </c>
      <c r="L7" s="29" t="s">
        <v>1776</v>
      </c>
      <c r="M7" s="29" t="s">
        <v>4757</v>
      </c>
      <c r="N7" s="29"/>
      <c r="O7" s="29"/>
      <c r="P7" s="29" t="s">
        <v>4758</v>
      </c>
    </row>
    <row r="8">
      <c r="A8" s="28">
        <v>4791.0</v>
      </c>
      <c r="B8" s="29" t="s">
        <v>4759</v>
      </c>
      <c r="C8" s="29" t="s">
        <v>449</v>
      </c>
      <c r="D8" s="29" t="s">
        <v>4358</v>
      </c>
      <c r="E8" s="29" t="s">
        <v>4359</v>
      </c>
      <c r="F8" s="30"/>
      <c r="G8" s="29" t="s">
        <v>441</v>
      </c>
      <c r="H8" s="29" t="s">
        <v>3036</v>
      </c>
      <c r="I8" s="29" t="s">
        <v>41</v>
      </c>
      <c r="J8" s="30"/>
      <c r="K8" s="29" t="s">
        <v>3026</v>
      </c>
      <c r="L8" s="29" t="s">
        <v>476</v>
      </c>
      <c r="M8" s="29" t="s">
        <v>4760</v>
      </c>
      <c r="N8" s="29"/>
      <c r="O8" s="29"/>
      <c r="P8" s="29" t="s">
        <v>4761</v>
      </c>
    </row>
    <row r="9">
      <c r="A9" s="28">
        <v>9496.0</v>
      </c>
      <c r="B9" s="29" t="s">
        <v>4762</v>
      </c>
      <c r="C9" s="29" t="s">
        <v>432</v>
      </c>
      <c r="D9" s="29" t="s">
        <v>4358</v>
      </c>
      <c r="E9" s="29" t="s">
        <v>4359</v>
      </c>
      <c r="F9" s="30"/>
      <c r="G9" s="29" t="s">
        <v>433</v>
      </c>
      <c r="H9" s="29" t="s">
        <v>4763</v>
      </c>
      <c r="I9" s="29" t="s">
        <v>234</v>
      </c>
      <c r="J9" s="29" t="s">
        <v>4764</v>
      </c>
      <c r="K9" s="29" t="s">
        <v>4765</v>
      </c>
      <c r="L9" s="29" t="s">
        <v>4766</v>
      </c>
      <c r="M9" s="29" t="s">
        <v>4767</v>
      </c>
      <c r="N9" s="29"/>
      <c r="O9" s="29"/>
      <c r="P9" s="29" t="s">
        <v>4768</v>
      </c>
    </row>
    <row r="10">
      <c r="A10" s="28">
        <v>10492.0</v>
      </c>
      <c r="B10" s="29" t="s">
        <v>4769</v>
      </c>
      <c r="C10" s="29" t="s">
        <v>432</v>
      </c>
      <c r="D10" s="29" t="s">
        <v>4358</v>
      </c>
      <c r="E10" s="29" t="s">
        <v>4359</v>
      </c>
      <c r="F10" s="30"/>
      <c r="G10" s="29" t="s">
        <v>441</v>
      </c>
      <c r="H10" s="29" t="s">
        <v>1157</v>
      </c>
      <c r="I10" s="29" t="s">
        <v>234</v>
      </c>
      <c r="J10" s="30"/>
      <c r="K10" s="29" t="s">
        <v>4770</v>
      </c>
      <c r="L10" s="29" t="s">
        <v>575</v>
      </c>
      <c r="M10" s="29" t="s">
        <v>4771</v>
      </c>
      <c r="N10" s="29"/>
      <c r="O10" s="29"/>
      <c r="P10" s="29" t="s">
        <v>4772</v>
      </c>
    </row>
    <row r="11">
      <c r="A11" s="28">
        <v>1137.0</v>
      </c>
      <c r="B11" s="29" t="s">
        <v>4773</v>
      </c>
      <c r="C11" s="29" t="s">
        <v>449</v>
      </c>
      <c r="D11" s="29" t="s">
        <v>4390</v>
      </c>
      <c r="E11" s="29" t="s">
        <v>4391</v>
      </c>
      <c r="F11" s="30"/>
      <c r="G11" s="29" t="s">
        <v>610</v>
      </c>
      <c r="H11" s="29" t="s">
        <v>4774</v>
      </c>
      <c r="I11" s="29" t="s">
        <v>41</v>
      </c>
      <c r="J11" s="30"/>
      <c r="K11" s="29" t="s">
        <v>2527</v>
      </c>
      <c r="L11" s="29" t="s">
        <v>4775</v>
      </c>
      <c r="M11" s="29" t="s">
        <v>4776</v>
      </c>
      <c r="N11" s="29"/>
      <c r="O11" s="29"/>
      <c r="P11" s="29" t="s">
        <v>4777</v>
      </c>
    </row>
    <row r="12">
      <c r="A12" s="28">
        <v>9209.0</v>
      </c>
      <c r="B12" s="29" t="s">
        <v>4778</v>
      </c>
      <c r="C12" s="29" t="s">
        <v>432</v>
      </c>
      <c r="D12" s="29" t="s">
        <v>4390</v>
      </c>
      <c r="E12" s="29" t="s">
        <v>4391</v>
      </c>
      <c r="F12" s="29" t="s">
        <v>450</v>
      </c>
      <c r="G12" s="29" t="s">
        <v>450</v>
      </c>
      <c r="H12" s="29" t="s">
        <v>4779</v>
      </c>
      <c r="I12" s="29" t="s">
        <v>4780</v>
      </c>
      <c r="J12" s="29" t="s">
        <v>4781</v>
      </c>
      <c r="K12" s="29" t="s">
        <v>610</v>
      </c>
      <c r="L12" s="29" t="s">
        <v>4782</v>
      </c>
      <c r="M12" s="29" t="s">
        <v>4783</v>
      </c>
      <c r="N12" s="29"/>
      <c r="O12" s="29"/>
      <c r="P12" s="29" t="s">
        <v>4784</v>
      </c>
    </row>
    <row r="13">
      <c r="A13" s="28">
        <v>10494.0</v>
      </c>
      <c r="B13" s="29" t="s">
        <v>4785</v>
      </c>
      <c r="C13" s="29" t="s">
        <v>432</v>
      </c>
      <c r="D13" s="29" t="s">
        <v>4404</v>
      </c>
      <c r="E13" s="29" t="s">
        <v>4405</v>
      </c>
      <c r="F13" s="30"/>
      <c r="G13" s="29" t="s">
        <v>441</v>
      </c>
      <c r="H13" s="29" t="s">
        <v>4786</v>
      </c>
      <c r="I13" s="29" t="s">
        <v>234</v>
      </c>
      <c r="J13" s="30"/>
      <c r="K13" s="29" t="s">
        <v>4787</v>
      </c>
      <c r="L13" s="29" t="s">
        <v>4788</v>
      </c>
      <c r="M13" s="29" t="s">
        <v>576</v>
      </c>
      <c r="N13" s="29"/>
      <c r="O13" s="29"/>
      <c r="P13" s="29" t="s">
        <v>4789</v>
      </c>
    </row>
    <row r="14">
      <c r="A14" s="28">
        <v>1142.0</v>
      </c>
      <c r="B14" s="29" t="s">
        <v>4790</v>
      </c>
      <c r="C14" s="29" t="s">
        <v>432</v>
      </c>
      <c r="D14" s="29" t="s">
        <v>4423</v>
      </c>
      <c r="E14" s="29" t="s">
        <v>4424</v>
      </c>
      <c r="F14" s="30"/>
      <c r="G14" s="29" t="s">
        <v>450</v>
      </c>
      <c r="H14" s="29" t="s">
        <v>634</v>
      </c>
      <c r="I14" s="29" t="s">
        <v>407</v>
      </c>
      <c r="J14" s="30"/>
      <c r="K14" s="29" t="s">
        <v>681</v>
      </c>
      <c r="L14" s="29" t="s">
        <v>489</v>
      </c>
      <c r="M14" s="29" t="s">
        <v>4791</v>
      </c>
      <c r="N14" s="29"/>
      <c r="O14" s="29"/>
      <c r="P14" s="29" t="s">
        <v>4792</v>
      </c>
    </row>
    <row r="15">
      <c r="A15" s="28">
        <v>8657.0</v>
      </c>
      <c r="B15" s="29" t="s">
        <v>4793</v>
      </c>
      <c r="C15" s="29" t="s">
        <v>432</v>
      </c>
      <c r="D15" s="29" t="s">
        <v>4423</v>
      </c>
      <c r="E15" s="29" t="s">
        <v>4424</v>
      </c>
      <c r="F15" s="29" t="s">
        <v>441</v>
      </c>
      <c r="G15" s="29" t="s">
        <v>433</v>
      </c>
      <c r="H15" s="29" t="s">
        <v>2370</v>
      </c>
      <c r="I15" s="29" t="s">
        <v>4794</v>
      </c>
      <c r="J15" s="30"/>
      <c r="K15" s="29" t="s">
        <v>4795</v>
      </c>
      <c r="L15" s="29" t="s">
        <v>511</v>
      </c>
      <c r="M15" s="29" t="s">
        <v>4796</v>
      </c>
      <c r="N15" s="29"/>
      <c r="O15" s="29"/>
      <c r="P15" s="29" t="s">
        <v>4797</v>
      </c>
    </row>
    <row r="16">
      <c r="A16" s="28">
        <v>9498.0</v>
      </c>
      <c r="B16" s="29" t="s">
        <v>4798</v>
      </c>
      <c r="C16" s="29" t="s">
        <v>432</v>
      </c>
      <c r="D16" s="29" t="s">
        <v>4423</v>
      </c>
      <c r="E16" s="29" t="s">
        <v>4424</v>
      </c>
      <c r="F16" s="30"/>
      <c r="G16" s="29" t="s">
        <v>433</v>
      </c>
      <c r="H16" s="29" t="s">
        <v>4799</v>
      </c>
      <c r="I16" s="29" t="s">
        <v>234</v>
      </c>
      <c r="J16" s="29" t="s">
        <v>4800</v>
      </c>
      <c r="K16" s="29" t="s">
        <v>4801</v>
      </c>
      <c r="L16" s="29" t="s">
        <v>4802</v>
      </c>
      <c r="M16" s="29" t="s">
        <v>4803</v>
      </c>
      <c r="N16" s="29"/>
      <c r="O16" s="29"/>
      <c r="P16" s="29" t="s">
        <v>4804</v>
      </c>
    </row>
    <row r="17">
      <c r="A17" s="28">
        <v>10495.0</v>
      </c>
      <c r="B17" s="29" t="s">
        <v>4805</v>
      </c>
      <c r="C17" s="29" t="s">
        <v>432</v>
      </c>
      <c r="D17" s="29" t="s">
        <v>4423</v>
      </c>
      <c r="E17" s="29" t="s">
        <v>4424</v>
      </c>
      <c r="F17" s="30"/>
      <c r="G17" s="29" t="s">
        <v>441</v>
      </c>
      <c r="H17" s="29" t="s">
        <v>1157</v>
      </c>
      <c r="I17" s="29" t="s">
        <v>234</v>
      </c>
      <c r="J17" s="30"/>
      <c r="K17" s="29" t="s">
        <v>4806</v>
      </c>
      <c r="L17" s="29" t="s">
        <v>4228</v>
      </c>
      <c r="M17" s="29" t="s">
        <v>576</v>
      </c>
      <c r="N17" s="29"/>
      <c r="O17" s="29"/>
      <c r="P17" s="29" t="s">
        <v>4807</v>
      </c>
    </row>
    <row r="18">
      <c r="A18" s="28">
        <v>3001.0</v>
      </c>
      <c r="B18" s="29" t="s">
        <v>4808</v>
      </c>
      <c r="C18" s="29" t="s">
        <v>432</v>
      </c>
      <c r="D18" s="29" t="s">
        <v>4457</v>
      </c>
      <c r="E18" s="29" t="s">
        <v>4458</v>
      </c>
      <c r="F18" s="29" t="s">
        <v>433</v>
      </c>
      <c r="G18" s="29" t="s">
        <v>433</v>
      </c>
      <c r="H18" s="29" t="s">
        <v>1221</v>
      </c>
      <c r="I18" s="29" t="s">
        <v>234</v>
      </c>
      <c r="J18" s="29" t="s">
        <v>4809</v>
      </c>
      <c r="K18" s="29" t="s">
        <v>659</v>
      </c>
      <c r="L18" s="30"/>
      <c r="M18" s="29" t="s">
        <v>4810</v>
      </c>
      <c r="N18" s="29"/>
      <c r="O18" s="29"/>
      <c r="P18" s="29" t="s">
        <v>4811</v>
      </c>
    </row>
    <row r="19">
      <c r="A19" s="28">
        <v>9363.0</v>
      </c>
      <c r="B19" s="29" t="s">
        <v>4812</v>
      </c>
      <c r="C19" s="29" t="s">
        <v>449</v>
      </c>
      <c r="D19" s="29" t="s">
        <v>4465</v>
      </c>
      <c r="E19" s="29" t="s">
        <v>4466</v>
      </c>
      <c r="F19" s="29" t="s">
        <v>441</v>
      </c>
      <c r="G19" s="29" t="s">
        <v>433</v>
      </c>
      <c r="H19" s="29" t="s">
        <v>1135</v>
      </c>
      <c r="I19" s="29" t="s">
        <v>45</v>
      </c>
      <c r="J19" s="30"/>
      <c r="K19" s="29" t="s">
        <v>4813</v>
      </c>
      <c r="L19" s="29" t="s">
        <v>511</v>
      </c>
      <c r="M19" s="29" t="s">
        <v>4814</v>
      </c>
      <c r="N19" s="29"/>
      <c r="O19" s="29"/>
      <c r="P19" s="29" t="s">
        <v>4815</v>
      </c>
    </row>
    <row r="20">
      <c r="A20" s="28">
        <v>9404.0</v>
      </c>
      <c r="B20" s="29" t="s">
        <v>4816</v>
      </c>
      <c r="C20" s="29" t="s">
        <v>449</v>
      </c>
      <c r="D20" s="29" t="s">
        <v>4465</v>
      </c>
      <c r="E20" s="29" t="s">
        <v>4466</v>
      </c>
      <c r="F20" s="30"/>
      <c r="G20" s="29" t="s">
        <v>441</v>
      </c>
      <c r="H20" s="29" t="s">
        <v>469</v>
      </c>
      <c r="I20" s="29" t="s">
        <v>45</v>
      </c>
      <c r="J20" s="30"/>
      <c r="K20" s="29" t="s">
        <v>4817</v>
      </c>
      <c r="L20" s="29" t="s">
        <v>459</v>
      </c>
      <c r="M20" s="29" t="s">
        <v>4818</v>
      </c>
      <c r="N20" s="29"/>
      <c r="O20" s="29"/>
      <c r="P20" s="29" t="s">
        <v>4819</v>
      </c>
    </row>
    <row r="21">
      <c r="A21" s="28">
        <v>10496.0</v>
      </c>
      <c r="B21" s="29" t="s">
        <v>4820</v>
      </c>
      <c r="C21" s="29" t="s">
        <v>432</v>
      </c>
      <c r="D21" s="29" t="s">
        <v>4465</v>
      </c>
      <c r="E21" s="29" t="s">
        <v>4466</v>
      </c>
      <c r="F21" s="30"/>
      <c r="G21" s="29" t="s">
        <v>441</v>
      </c>
      <c r="H21" s="29" t="s">
        <v>4821</v>
      </c>
      <c r="I21" s="29" t="s">
        <v>234</v>
      </c>
      <c r="J21" s="30"/>
      <c r="K21" s="29" t="s">
        <v>4822</v>
      </c>
      <c r="L21" s="29" t="s">
        <v>4823</v>
      </c>
      <c r="M21" s="29" t="s">
        <v>576</v>
      </c>
      <c r="N21" s="29"/>
      <c r="O21" s="29"/>
      <c r="P21" s="29" t="s">
        <v>4824</v>
      </c>
    </row>
    <row r="22">
      <c r="A22" s="28">
        <v>1165.0</v>
      </c>
      <c r="B22" s="29" t="s">
        <v>4825</v>
      </c>
      <c r="C22" s="29" t="s">
        <v>449</v>
      </c>
      <c r="D22" s="29" t="s">
        <v>4497</v>
      </c>
      <c r="E22" s="29" t="s">
        <v>4498</v>
      </c>
      <c r="F22" s="30"/>
      <c r="G22" s="29" t="s">
        <v>441</v>
      </c>
      <c r="H22" s="29" t="s">
        <v>474</v>
      </c>
      <c r="I22" s="29" t="s">
        <v>41</v>
      </c>
      <c r="J22" s="30"/>
      <c r="K22" s="29" t="s">
        <v>537</v>
      </c>
      <c r="L22" s="29" t="s">
        <v>489</v>
      </c>
      <c r="M22" s="29" t="s">
        <v>4826</v>
      </c>
      <c r="N22" s="29"/>
      <c r="O22" s="29"/>
      <c r="P22" s="29" t="s">
        <v>4827</v>
      </c>
    </row>
    <row r="23">
      <c r="A23" s="28">
        <v>1167.0</v>
      </c>
      <c r="B23" s="29" t="s">
        <v>4828</v>
      </c>
      <c r="C23" s="29" t="s">
        <v>449</v>
      </c>
      <c r="D23" s="29" t="s">
        <v>4497</v>
      </c>
      <c r="E23" s="29" t="s">
        <v>4498</v>
      </c>
      <c r="F23" s="30"/>
      <c r="G23" s="29" t="s">
        <v>441</v>
      </c>
      <c r="H23" s="29" t="s">
        <v>1725</v>
      </c>
      <c r="I23" s="29" t="s">
        <v>41</v>
      </c>
      <c r="J23" s="30"/>
      <c r="K23" s="29" t="s">
        <v>1817</v>
      </c>
      <c r="L23" s="29" t="s">
        <v>459</v>
      </c>
      <c r="M23" s="29" t="s">
        <v>4829</v>
      </c>
      <c r="N23" s="29"/>
      <c r="O23" s="29"/>
      <c r="P23" s="29" t="s">
        <v>4830</v>
      </c>
    </row>
    <row r="24">
      <c r="A24" s="28">
        <v>1169.0</v>
      </c>
      <c r="B24" s="29" t="s">
        <v>4831</v>
      </c>
      <c r="C24" s="29" t="s">
        <v>432</v>
      </c>
      <c r="D24" s="29" t="s">
        <v>4513</v>
      </c>
      <c r="E24" s="29" t="s">
        <v>4514</v>
      </c>
      <c r="F24" s="30"/>
      <c r="G24" s="29" t="s">
        <v>433</v>
      </c>
      <c r="H24" s="29" t="s">
        <v>434</v>
      </c>
      <c r="I24" s="29" t="s">
        <v>234</v>
      </c>
      <c r="J24" s="30"/>
      <c r="K24" s="29" t="s">
        <v>1881</v>
      </c>
      <c r="L24" s="29" t="s">
        <v>4832</v>
      </c>
      <c r="M24" s="29" t="s">
        <v>4833</v>
      </c>
      <c r="N24" s="29"/>
      <c r="O24" s="29"/>
      <c r="P24" s="29" t="s">
        <v>4834</v>
      </c>
    </row>
    <row r="25">
      <c r="A25" s="28">
        <v>1171.0</v>
      </c>
      <c r="B25" s="29" t="s">
        <v>4835</v>
      </c>
      <c r="C25" s="29" t="s">
        <v>432</v>
      </c>
      <c r="D25" s="29" t="s">
        <v>4513</v>
      </c>
      <c r="E25" s="29" t="s">
        <v>4514</v>
      </c>
      <c r="F25" s="30"/>
      <c r="G25" s="29" t="s">
        <v>441</v>
      </c>
      <c r="H25" s="29" t="s">
        <v>526</v>
      </c>
      <c r="I25" s="29" t="s">
        <v>435</v>
      </c>
      <c r="J25" s="30"/>
      <c r="K25" s="29" t="s">
        <v>493</v>
      </c>
      <c r="L25" s="29" t="s">
        <v>2984</v>
      </c>
      <c r="M25" s="29" t="s">
        <v>4836</v>
      </c>
      <c r="N25" s="29"/>
      <c r="O25" s="29"/>
      <c r="P25" s="29" t="s">
        <v>4837</v>
      </c>
    </row>
    <row r="26">
      <c r="A26" s="28">
        <v>9500.0</v>
      </c>
      <c r="B26" s="29" t="s">
        <v>4838</v>
      </c>
      <c r="C26" s="29" t="s">
        <v>432</v>
      </c>
      <c r="D26" s="29" t="s">
        <v>4539</v>
      </c>
      <c r="E26" s="29" t="s">
        <v>4540</v>
      </c>
      <c r="F26" s="30"/>
      <c r="G26" s="29" t="s">
        <v>433</v>
      </c>
      <c r="H26" s="29" t="s">
        <v>4839</v>
      </c>
      <c r="I26" s="29" t="s">
        <v>234</v>
      </c>
      <c r="J26" s="29" t="s">
        <v>4840</v>
      </c>
      <c r="K26" s="29" t="s">
        <v>4841</v>
      </c>
      <c r="L26" s="30"/>
      <c r="M26" s="29" t="s">
        <v>4151</v>
      </c>
      <c r="N26" s="29"/>
      <c r="O26" s="29"/>
      <c r="P26" s="29" t="s">
        <v>4842</v>
      </c>
    </row>
    <row r="27">
      <c r="A27" s="28">
        <v>10497.0</v>
      </c>
      <c r="B27" s="29" t="s">
        <v>4547</v>
      </c>
      <c r="C27" s="29" t="s">
        <v>432</v>
      </c>
      <c r="D27" s="29" t="s">
        <v>4539</v>
      </c>
      <c r="E27" s="29" t="s">
        <v>4540</v>
      </c>
      <c r="F27" s="30"/>
      <c r="G27" s="29" t="s">
        <v>441</v>
      </c>
      <c r="H27" s="29" t="s">
        <v>1157</v>
      </c>
      <c r="I27" s="29" t="s">
        <v>234</v>
      </c>
      <c r="J27" s="30"/>
      <c r="K27" s="29" t="s">
        <v>3079</v>
      </c>
      <c r="L27" s="29" t="s">
        <v>4788</v>
      </c>
      <c r="M27" s="29" t="s">
        <v>4843</v>
      </c>
      <c r="N27" s="29"/>
      <c r="O27" s="29"/>
      <c r="P27" s="29" t="s">
        <v>4844</v>
      </c>
    </row>
    <row r="28">
      <c r="A28" s="28">
        <v>1196.0</v>
      </c>
      <c r="B28" s="29" t="s">
        <v>4845</v>
      </c>
      <c r="C28" s="29" t="s">
        <v>432</v>
      </c>
      <c r="D28" s="29" t="s">
        <v>4562</v>
      </c>
      <c r="E28" s="29" t="s">
        <v>4563</v>
      </c>
      <c r="F28" s="29" t="s">
        <v>441</v>
      </c>
      <c r="G28" s="29" t="s">
        <v>441</v>
      </c>
      <c r="H28" s="29" t="s">
        <v>1288</v>
      </c>
      <c r="I28" s="29" t="s">
        <v>41</v>
      </c>
      <c r="J28" s="30"/>
      <c r="K28" s="29" t="s">
        <v>4846</v>
      </c>
      <c r="L28" s="29" t="s">
        <v>489</v>
      </c>
      <c r="M28" s="29" t="s">
        <v>4847</v>
      </c>
      <c r="N28" s="29"/>
      <c r="O28" s="29"/>
      <c r="P28" s="29" t="s">
        <v>4848</v>
      </c>
    </row>
    <row r="29">
      <c r="A29" s="28">
        <v>1200.0</v>
      </c>
      <c r="B29" s="29" t="s">
        <v>4849</v>
      </c>
      <c r="C29" s="29" t="s">
        <v>449</v>
      </c>
      <c r="D29" s="29" t="s">
        <v>4562</v>
      </c>
      <c r="E29" s="29" t="s">
        <v>4563</v>
      </c>
      <c r="F29" s="30"/>
      <c r="G29" s="29" t="s">
        <v>433</v>
      </c>
      <c r="H29" s="29" t="s">
        <v>4850</v>
      </c>
      <c r="I29" s="29" t="s">
        <v>4851</v>
      </c>
      <c r="J29" s="30"/>
      <c r="K29" s="29" t="s">
        <v>4852</v>
      </c>
      <c r="L29" s="29" t="s">
        <v>4853</v>
      </c>
      <c r="M29" s="29" t="s">
        <v>4854</v>
      </c>
      <c r="N29" s="29"/>
      <c r="O29" s="29"/>
      <c r="P29" s="29" t="s">
        <v>4855</v>
      </c>
    </row>
    <row r="30">
      <c r="A30" s="28">
        <v>1207.0</v>
      </c>
      <c r="B30" s="29" t="s">
        <v>4856</v>
      </c>
      <c r="C30" s="29" t="s">
        <v>449</v>
      </c>
      <c r="D30" s="29" t="s">
        <v>4562</v>
      </c>
      <c r="E30" s="29" t="s">
        <v>4563</v>
      </c>
      <c r="F30" s="30"/>
      <c r="G30" s="29" t="s">
        <v>441</v>
      </c>
      <c r="H30" s="29" t="s">
        <v>1157</v>
      </c>
      <c r="I30" s="29" t="s">
        <v>4857</v>
      </c>
      <c r="J30" s="30"/>
      <c r="K30" s="29" t="s">
        <v>4858</v>
      </c>
      <c r="L30" s="29" t="s">
        <v>476</v>
      </c>
      <c r="M30" s="29" t="s">
        <v>4859</v>
      </c>
      <c r="N30" s="29"/>
      <c r="O30" s="29"/>
      <c r="P30" s="29" t="s">
        <v>4860</v>
      </c>
    </row>
    <row r="31">
      <c r="A31" s="28">
        <v>8566.0</v>
      </c>
      <c r="B31" s="29" t="s">
        <v>4861</v>
      </c>
      <c r="C31" s="29" t="s">
        <v>449</v>
      </c>
      <c r="D31" s="29" t="s">
        <v>4562</v>
      </c>
      <c r="E31" s="29" t="s">
        <v>4563</v>
      </c>
      <c r="F31" s="30"/>
      <c r="G31" s="29" t="s">
        <v>441</v>
      </c>
      <c r="H31" s="29" t="s">
        <v>4862</v>
      </c>
      <c r="I31" s="29" t="s">
        <v>4851</v>
      </c>
      <c r="J31" s="30"/>
      <c r="K31" s="29" t="s">
        <v>542</v>
      </c>
      <c r="L31" s="29" t="s">
        <v>476</v>
      </c>
      <c r="M31" s="29" t="s">
        <v>4863</v>
      </c>
      <c r="N31" s="29"/>
      <c r="O31" s="29"/>
      <c r="P31" s="29" t="s">
        <v>4864</v>
      </c>
    </row>
    <row r="32">
      <c r="A32" s="28">
        <v>8568.0</v>
      </c>
      <c r="B32" s="29" t="s">
        <v>4865</v>
      </c>
      <c r="C32" s="29" t="s">
        <v>449</v>
      </c>
      <c r="D32" s="29" t="s">
        <v>4562</v>
      </c>
      <c r="E32" s="29" t="s">
        <v>4563</v>
      </c>
      <c r="F32" s="30"/>
      <c r="G32" s="29" t="s">
        <v>441</v>
      </c>
      <c r="H32" s="29" t="s">
        <v>1309</v>
      </c>
      <c r="I32" s="29" t="s">
        <v>4866</v>
      </c>
      <c r="J32" s="30"/>
      <c r="K32" s="29" t="s">
        <v>542</v>
      </c>
      <c r="L32" s="29" t="s">
        <v>489</v>
      </c>
      <c r="M32" s="29" t="s">
        <v>4867</v>
      </c>
      <c r="N32" s="29"/>
      <c r="O32" s="29"/>
      <c r="P32" s="29" t="s">
        <v>4868</v>
      </c>
    </row>
    <row r="33">
      <c r="A33" s="28">
        <v>8569.0</v>
      </c>
      <c r="B33" s="29" t="s">
        <v>4869</v>
      </c>
      <c r="C33" s="29" t="s">
        <v>449</v>
      </c>
      <c r="D33" s="29" t="s">
        <v>4562</v>
      </c>
      <c r="E33" s="29" t="s">
        <v>4563</v>
      </c>
      <c r="F33" s="30"/>
      <c r="G33" s="29" t="s">
        <v>441</v>
      </c>
      <c r="H33" s="29" t="s">
        <v>469</v>
      </c>
      <c r="I33" s="29" t="s">
        <v>4851</v>
      </c>
      <c r="J33" s="30"/>
      <c r="K33" s="29" t="s">
        <v>493</v>
      </c>
      <c r="L33" s="29" t="s">
        <v>489</v>
      </c>
      <c r="M33" s="29" t="s">
        <v>4870</v>
      </c>
      <c r="N33" s="29"/>
      <c r="O33" s="29"/>
      <c r="P33" s="29" t="s">
        <v>4871</v>
      </c>
    </row>
    <row r="34">
      <c r="A34" s="28">
        <v>8570.0</v>
      </c>
      <c r="B34" s="29" t="s">
        <v>4872</v>
      </c>
      <c r="C34" s="29" t="s">
        <v>449</v>
      </c>
      <c r="D34" s="29" t="s">
        <v>4562</v>
      </c>
      <c r="E34" s="29" t="s">
        <v>4563</v>
      </c>
      <c r="F34" s="30"/>
      <c r="G34" s="29" t="s">
        <v>433</v>
      </c>
      <c r="H34" s="29" t="s">
        <v>1811</v>
      </c>
      <c r="I34" s="29" t="s">
        <v>4866</v>
      </c>
      <c r="J34" s="30"/>
      <c r="K34" s="29" t="s">
        <v>635</v>
      </c>
      <c r="L34" s="29" t="s">
        <v>4873</v>
      </c>
      <c r="M34" s="29" t="s">
        <v>4874</v>
      </c>
      <c r="N34" s="29"/>
      <c r="O34" s="29"/>
      <c r="P34" s="29" t="s">
        <v>4875</v>
      </c>
    </row>
    <row r="35">
      <c r="A35" s="28">
        <v>8571.0</v>
      </c>
      <c r="B35" s="29" t="s">
        <v>4876</v>
      </c>
      <c r="C35" s="29" t="s">
        <v>449</v>
      </c>
      <c r="D35" s="29" t="s">
        <v>4562</v>
      </c>
      <c r="E35" s="29" t="s">
        <v>4563</v>
      </c>
      <c r="F35" s="30"/>
      <c r="G35" s="29" t="s">
        <v>450</v>
      </c>
      <c r="H35" s="29" t="s">
        <v>692</v>
      </c>
      <c r="I35" s="29" t="s">
        <v>4851</v>
      </c>
      <c r="J35" s="30"/>
      <c r="K35" s="29" t="s">
        <v>1881</v>
      </c>
      <c r="L35" s="29" t="s">
        <v>4877</v>
      </c>
      <c r="M35" s="29" t="s">
        <v>4878</v>
      </c>
      <c r="N35" s="29"/>
      <c r="O35" s="29"/>
      <c r="P35" s="29" t="s">
        <v>4879</v>
      </c>
    </row>
    <row r="36">
      <c r="A36" s="28">
        <v>9369.0</v>
      </c>
      <c r="B36" s="29" t="s">
        <v>4625</v>
      </c>
      <c r="C36" s="29" t="s">
        <v>432</v>
      </c>
      <c r="D36" s="29" t="s">
        <v>4562</v>
      </c>
      <c r="E36" s="29" t="s">
        <v>4563</v>
      </c>
      <c r="F36" s="30"/>
      <c r="G36" s="29" t="s">
        <v>441</v>
      </c>
      <c r="H36" s="29" t="s">
        <v>1745</v>
      </c>
      <c r="I36" s="29" t="s">
        <v>234</v>
      </c>
      <c r="J36" s="30"/>
      <c r="K36" s="29" t="s">
        <v>4880</v>
      </c>
      <c r="L36" s="29" t="s">
        <v>4881</v>
      </c>
      <c r="M36" s="29" t="s">
        <v>4882</v>
      </c>
      <c r="N36" s="29"/>
      <c r="O36" s="29"/>
      <c r="P36" s="29" t="s">
        <v>4883</v>
      </c>
    </row>
    <row r="37">
      <c r="A37" s="28">
        <v>9519.0</v>
      </c>
      <c r="B37" s="29" t="s">
        <v>4884</v>
      </c>
      <c r="C37" s="29" t="s">
        <v>449</v>
      </c>
      <c r="D37" s="29" t="s">
        <v>4562</v>
      </c>
      <c r="E37" s="29" t="s">
        <v>4563</v>
      </c>
      <c r="F37" s="30"/>
      <c r="G37" s="29" t="s">
        <v>433</v>
      </c>
      <c r="H37" s="29" t="s">
        <v>469</v>
      </c>
      <c r="I37" s="29" t="s">
        <v>4851</v>
      </c>
      <c r="J37" s="30"/>
      <c r="K37" s="29" t="s">
        <v>4885</v>
      </c>
      <c r="L37" s="29" t="s">
        <v>511</v>
      </c>
      <c r="M37" s="29" t="s">
        <v>4886</v>
      </c>
      <c r="N37" s="29"/>
      <c r="O37" s="29"/>
      <c r="P37" s="29" t="s">
        <v>4887</v>
      </c>
    </row>
    <row r="38">
      <c r="A38" s="28">
        <v>9520.0</v>
      </c>
      <c r="B38" s="29" t="s">
        <v>4888</v>
      </c>
      <c r="C38" s="29" t="s">
        <v>449</v>
      </c>
      <c r="D38" s="29" t="s">
        <v>4562</v>
      </c>
      <c r="E38" s="29" t="s">
        <v>4563</v>
      </c>
      <c r="F38" s="30"/>
      <c r="G38" s="29" t="s">
        <v>441</v>
      </c>
      <c r="H38" s="29" t="s">
        <v>4889</v>
      </c>
      <c r="I38" s="29" t="s">
        <v>4851</v>
      </c>
      <c r="J38" s="30"/>
      <c r="K38" s="29" t="s">
        <v>4890</v>
      </c>
      <c r="L38" s="29" t="s">
        <v>511</v>
      </c>
      <c r="M38" s="29" t="s">
        <v>4891</v>
      </c>
      <c r="N38" s="29"/>
      <c r="O38" s="29"/>
      <c r="P38" s="29" t="s">
        <v>4892</v>
      </c>
    </row>
    <row r="39">
      <c r="A39" s="28">
        <v>9635.0</v>
      </c>
      <c r="B39" s="29" t="s">
        <v>4893</v>
      </c>
      <c r="C39" s="29" t="s">
        <v>449</v>
      </c>
      <c r="D39" s="29" t="s">
        <v>4562</v>
      </c>
      <c r="E39" s="29" t="s">
        <v>4563</v>
      </c>
      <c r="F39" s="30"/>
      <c r="G39" s="29" t="s">
        <v>441</v>
      </c>
      <c r="H39" s="29" t="s">
        <v>4894</v>
      </c>
      <c r="I39" s="29" t="s">
        <v>4895</v>
      </c>
      <c r="J39" s="30"/>
      <c r="K39" s="29" t="s">
        <v>4896</v>
      </c>
      <c r="L39" s="29" t="s">
        <v>511</v>
      </c>
      <c r="M39" s="29" t="s">
        <v>4897</v>
      </c>
      <c r="N39" s="29"/>
      <c r="O39" s="29"/>
      <c r="P39" s="29" t="s">
        <v>4898</v>
      </c>
    </row>
    <row r="40">
      <c r="A40" s="28">
        <v>9693.0</v>
      </c>
      <c r="B40" s="29" t="s">
        <v>4899</v>
      </c>
      <c r="C40" s="29" t="s">
        <v>432</v>
      </c>
      <c r="D40" s="29" t="s">
        <v>4562</v>
      </c>
      <c r="E40" s="29" t="s">
        <v>4563</v>
      </c>
      <c r="F40" s="30"/>
      <c r="G40" s="29" t="s">
        <v>441</v>
      </c>
      <c r="H40" s="29" t="s">
        <v>434</v>
      </c>
      <c r="I40" s="29" t="s">
        <v>144</v>
      </c>
      <c r="J40" s="30"/>
      <c r="K40" s="29" t="s">
        <v>4900</v>
      </c>
      <c r="L40" s="29" t="s">
        <v>476</v>
      </c>
      <c r="M40" s="29" t="s">
        <v>4901</v>
      </c>
      <c r="N40" s="29"/>
      <c r="O40" s="29"/>
      <c r="P40" s="29" t="s">
        <v>4902</v>
      </c>
    </row>
    <row r="41">
      <c r="A41" s="28">
        <v>9694.0</v>
      </c>
      <c r="B41" s="29" t="s">
        <v>4903</v>
      </c>
      <c r="C41" s="29" t="s">
        <v>449</v>
      </c>
      <c r="D41" s="29" t="s">
        <v>4562</v>
      </c>
      <c r="E41" s="29" t="s">
        <v>4563</v>
      </c>
      <c r="F41" s="30"/>
      <c r="G41" s="29" t="s">
        <v>441</v>
      </c>
      <c r="H41" s="29" t="s">
        <v>4904</v>
      </c>
      <c r="I41" s="29" t="s">
        <v>4857</v>
      </c>
      <c r="J41" s="30"/>
      <c r="K41" s="29" t="s">
        <v>4905</v>
      </c>
      <c r="L41" s="29" t="s">
        <v>4906</v>
      </c>
      <c r="M41" s="29" t="s">
        <v>4907</v>
      </c>
      <c r="N41" s="29"/>
      <c r="O41" s="29"/>
      <c r="P41" s="29" t="s">
        <v>4908</v>
      </c>
    </row>
    <row r="42">
      <c r="A42" s="28">
        <v>9987.0</v>
      </c>
      <c r="B42" s="29" t="s">
        <v>4909</v>
      </c>
      <c r="C42" s="29" t="s">
        <v>432</v>
      </c>
      <c r="D42" s="29" t="s">
        <v>4562</v>
      </c>
      <c r="E42" s="29" t="s">
        <v>4563</v>
      </c>
      <c r="F42" s="30"/>
      <c r="G42" s="29" t="s">
        <v>433</v>
      </c>
      <c r="H42" s="29" t="s">
        <v>634</v>
      </c>
      <c r="I42" s="29" t="s">
        <v>1741</v>
      </c>
      <c r="J42" s="30"/>
      <c r="K42" s="29" t="s">
        <v>4890</v>
      </c>
      <c r="L42" s="29" t="s">
        <v>4890</v>
      </c>
      <c r="M42" s="29" t="s">
        <v>4910</v>
      </c>
      <c r="N42" s="29"/>
      <c r="O42" s="29"/>
      <c r="P42" s="29" t="s">
        <v>4911</v>
      </c>
    </row>
    <row r="43">
      <c r="A43" s="28">
        <v>10389.0</v>
      </c>
      <c r="B43" s="29" t="s">
        <v>4912</v>
      </c>
      <c r="C43" s="29" t="s">
        <v>432</v>
      </c>
      <c r="D43" s="29" t="s">
        <v>4562</v>
      </c>
      <c r="E43" s="29" t="s">
        <v>4563</v>
      </c>
      <c r="F43" s="30"/>
      <c r="G43" s="29" t="s">
        <v>433</v>
      </c>
      <c r="H43" s="29" t="s">
        <v>4913</v>
      </c>
      <c r="I43" s="29" t="s">
        <v>144</v>
      </c>
      <c r="J43" s="30"/>
      <c r="K43" s="29" t="s">
        <v>4914</v>
      </c>
      <c r="L43" s="29" t="s">
        <v>4915</v>
      </c>
      <c r="M43" s="29" t="s">
        <v>4916</v>
      </c>
      <c r="N43" s="29"/>
      <c r="O43" s="29"/>
      <c r="P43" s="29" t="s">
        <v>4917</v>
      </c>
    </row>
    <row r="44">
      <c r="A44" s="28">
        <v>1220.0</v>
      </c>
      <c r="B44" s="29" t="s">
        <v>4918</v>
      </c>
      <c r="C44" s="29" t="s">
        <v>449</v>
      </c>
      <c r="D44" s="29" t="s">
        <v>4683</v>
      </c>
      <c r="E44" s="29" t="s">
        <v>4684</v>
      </c>
      <c r="F44" s="29" t="s">
        <v>433</v>
      </c>
      <c r="G44" s="29" t="s">
        <v>433</v>
      </c>
      <c r="H44" s="29" t="s">
        <v>597</v>
      </c>
      <c r="I44" s="29" t="s">
        <v>41</v>
      </c>
      <c r="J44" s="30"/>
      <c r="K44" s="29" t="s">
        <v>4919</v>
      </c>
      <c r="L44" s="29" t="s">
        <v>4920</v>
      </c>
      <c r="M44" s="29" t="s">
        <v>4921</v>
      </c>
      <c r="N44" s="29"/>
      <c r="O44" s="29"/>
      <c r="P44" s="29" t="s">
        <v>4922</v>
      </c>
    </row>
    <row r="45">
      <c r="A45" s="28">
        <v>1223.0</v>
      </c>
      <c r="B45" s="29" t="s">
        <v>4923</v>
      </c>
      <c r="C45" s="29" t="s">
        <v>449</v>
      </c>
      <c r="D45" s="29" t="s">
        <v>4683</v>
      </c>
      <c r="E45" s="29" t="s">
        <v>4684</v>
      </c>
      <c r="F45" s="30"/>
      <c r="G45" s="29" t="s">
        <v>441</v>
      </c>
      <c r="H45" s="29" t="s">
        <v>482</v>
      </c>
      <c r="I45" s="29" t="s">
        <v>41</v>
      </c>
      <c r="J45" s="30"/>
      <c r="K45" s="29" t="s">
        <v>4924</v>
      </c>
      <c r="L45" s="29" t="s">
        <v>476</v>
      </c>
      <c r="M45" s="29" t="s">
        <v>4925</v>
      </c>
      <c r="N45" s="29"/>
      <c r="O45" s="29"/>
      <c r="P45" s="29" t="s">
        <v>4926</v>
      </c>
    </row>
    <row r="46">
      <c r="A46" s="28">
        <v>1224.0</v>
      </c>
      <c r="B46" s="29" t="s">
        <v>4927</v>
      </c>
      <c r="C46" s="29" t="s">
        <v>449</v>
      </c>
      <c r="D46" s="29" t="s">
        <v>4683</v>
      </c>
      <c r="E46" s="29" t="s">
        <v>4684</v>
      </c>
      <c r="F46" s="30"/>
      <c r="G46" s="29" t="s">
        <v>450</v>
      </c>
      <c r="H46" s="29" t="s">
        <v>4928</v>
      </c>
      <c r="I46" s="29" t="s">
        <v>41</v>
      </c>
      <c r="J46" s="30"/>
      <c r="K46" s="29" t="s">
        <v>2527</v>
      </c>
      <c r="L46" s="29" t="s">
        <v>3580</v>
      </c>
      <c r="M46" s="29" t="s">
        <v>4929</v>
      </c>
      <c r="N46" s="29"/>
      <c r="O46" s="29"/>
      <c r="P46" s="29" t="s">
        <v>4930</v>
      </c>
    </row>
    <row r="47">
      <c r="A47" s="28">
        <v>1226.0</v>
      </c>
      <c r="B47" s="29" t="s">
        <v>4931</v>
      </c>
      <c r="C47" s="29" t="s">
        <v>449</v>
      </c>
      <c r="D47" s="29" t="s">
        <v>4683</v>
      </c>
      <c r="E47" s="29" t="s">
        <v>4684</v>
      </c>
      <c r="F47" s="30"/>
      <c r="G47" s="29" t="s">
        <v>441</v>
      </c>
      <c r="H47" s="29" t="s">
        <v>482</v>
      </c>
      <c r="I47" s="29" t="s">
        <v>41</v>
      </c>
      <c r="J47" s="30"/>
      <c r="K47" s="29" t="s">
        <v>542</v>
      </c>
      <c r="L47" s="29" t="s">
        <v>445</v>
      </c>
      <c r="M47" s="29" t="s">
        <v>497</v>
      </c>
      <c r="N47" s="29"/>
      <c r="O47" s="29"/>
      <c r="P47" s="29" t="s">
        <v>4932</v>
      </c>
    </row>
    <row r="48">
      <c r="A48" s="28">
        <v>1227.0</v>
      </c>
      <c r="B48" s="29" t="s">
        <v>4933</v>
      </c>
      <c r="C48" s="29" t="s">
        <v>449</v>
      </c>
      <c r="D48" s="29" t="s">
        <v>4683</v>
      </c>
      <c r="E48" s="29" t="s">
        <v>4684</v>
      </c>
      <c r="F48" s="30"/>
      <c r="G48" s="29" t="s">
        <v>450</v>
      </c>
      <c r="H48" s="29" t="s">
        <v>1740</v>
      </c>
      <c r="I48" s="29" t="s">
        <v>41</v>
      </c>
      <c r="J48" s="30"/>
      <c r="K48" s="29" t="s">
        <v>4934</v>
      </c>
      <c r="L48" s="29" t="s">
        <v>538</v>
      </c>
      <c r="M48" s="29" t="s">
        <v>4935</v>
      </c>
      <c r="N48" s="29"/>
      <c r="O48" s="29"/>
      <c r="P48" s="29" t="s">
        <v>4936</v>
      </c>
    </row>
    <row r="49">
      <c r="A49" s="28">
        <v>9483.0</v>
      </c>
      <c r="B49" s="29" t="s">
        <v>4937</v>
      </c>
      <c r="C49" s="29" t="s">
        <v>449</v>
      </c>
      <c r="D49" s="29" t="s">
        <v>4683</v>
      </c>
      <c r="E49" s="29" t="s">
        <v>4684</v>
      </c>
      <c r="F49" s="30"/>
      <c r="G49" s="29" t="s">
        <v>441</v>
      </c>
      <c r="H49" s="29" t="s">
        <v>4938</v>
      </c>
      <c r="I49" s="29" t="s">
        <v>452</v>
      </c>
      <c r="J49" s="30"/>
      <c r="K49" s="29" t="s">
        <v>4939</v>
      </c>
      <c r="L49" s="29" t="s">
        <v>4940</v>
      </c>
      <c r="M49" s="29" t="s">
        <v>4941</v>
      </c>
      <c r="N49" s="29"/>
      <c r="O49" s="29"/>
      <c r="P49" s="29" t="s">
        <v>4942</v>
      </c>
    </row>
    <row r="50">
      <c r="A50" s="28">
        <v>10498.0</v>
      </c>
      <c r="B50" s="29" t="s">
        <v>4943</v>
      </c>
      <c r="C50" s="29" t="s">
        <v>432</v>
      </c>
      <c r="D50" s="29" t="s">
        <v>4683</v>
      </c>
      <c r="E50" s="29" t="s">
        <v>4684</v>
      </c>
      <c r="F50" s="30"/>
      <c r="G50" s="29" t="s">
        <v>441</v>
      </c>
      <c r="H50" s="29" t="s">
        <v>1157</v>
      </c>
      <c r="I50" s="29" t="s">
        <v>234</v>
      </c>
      <c r="J50" s="30"/>
      <c r="K50" s="29" t="s">
        <v>4944</v>
      </c>
      <c r="L50" s="29" t="s">
        <v>575</v>
      </c>
      <c r="M50" s="29" t="s">
        <v>1893</v>
      </c>
      <c r="N50" s="29"/>
      <c r="O50" s="29"/>
      <c r="P50" s="29" t="s">
        <v>4945</v>
      </c>
    </row>
    <row r="51">
      <c r="A51" s="28">
        <v>1229.0</v>
      </c>
      <c r="B51" s="29" t="s">
        <v>4946</v>
      </c>
      <c r="C51" s="29" t="s">
        <v>432</v>
      </c>
      <c r="D51" s="29" t="s">
        <v>1324</v>
      </c>
      <c r="E51" s="29" t="s">
        <v>1325</v>
      </c>
      <c r="F51" s="29" t="s">
        <v>433</v>
      </c>
      <c r="G51" s="29" t="s">
        <v>433</v>
      </c>
      <c r="H51" s="29" t="s">
        <v>526</v>
      </c>
      <c r="I51" s="29" t="s">
        <v>234</v>
      </c>
      <c r="J51" s="29" t="s">
        <v>4947</v>
      </c>
      <c r="K51" s="29" t="s">
        <v>635</v>
      </c>
      <c r="L51" s="29" t="s">
        <v>489</v>
      </c>
      <c r="M51" s="29" t="s">
        <v>2493</v>
      </c>
      <c r="N51" s="29"/>
      <c r="O51" s="29"/>
      <c r="P51" s="29" t="s">
        <v>4948</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4949</v>
      </c>
      <c r="C2" s="2" t="str">
        <f>IFERROR(__xludf.DUMMYFUNCTION("googletranslate(B2)"),"The Uganda Green Growth Development Strategy 2017/18 - 2030/31")</f>
        <v>The Uganda Green Growth Development Strategy 2017/18 - 2030/31</v>
      </c>
      <c r="D2" s="204" t="s">
        <v>4950</v>
      </c>
      <c r="E2" s="204" t="s">
        <v>4951</v>
      </c>
      <c r="F2" s="204" t="s">
        <v>144</v>
      </c>
      <c r="G2" s="204"/>
      <c r="H2" s="204">
        <v>2017.0</v>
      </c>
      <c r="I2" s="204" t="s">
        <v>24</v>
      </c>
      <c r="J2" s="204" t="s">
        <v>4952</v>
      </c>
      <c r="K2" s="205" t="s">
        <v>4953</v>
      </c>
      <c r="L2" s="204" t="s">
        <v>4954</v>
      </c>
      <c r="M2" s="138"/>
      <c r="N2" s="204" t="s">
        <v>23</v>
      </c>
      <c r="O2" s="25"/>
    </row>
    <row r="3">
      <c r="A3" s="204">
        <v>10061.0</v>
      </c>
      <c r="B3" s="206" t="s">
        <v>4955</v>
      </c>
      <c r="C3" s="2" t="str">
        <f>IFERROR(__xludf.DUMMYFUNCTION("googletranslate(B3)"),"Uganda Green Growth Development Strategy")</f>
        <v>Uganda Green Growth Development Strategy</v>
      </c>
      <c r="D3" s="204" t="s">
        <v>4950</v>
      </c>
      <c r="E3" s="204" t="s">
        <v>4951</v>
      </c>
      <c r="F3" s="204" t="s">
        <v>144</v>
      </c>
      <c r="G3" s="207"/>
      <c r="H3" s="207"/>
      <c r="I3" s="204" t="s">
        <v>24</v>
      </c>
      <c r="J3" s="204" t="s">
        <v>4956</v>
      </c>
      <c r="K3" s="205" t="s">
        <v>4957</v>
      </c>
      <c r="L3" s="204" t="s">
        <v>4954</v>
      </c>
      <c r="M3" s="138"/>
      <c r="N3" s="204" t="s">
        <v>326</v>
      </c>
      <c r="O3" s="25"/>
    </row>
    <row r="4">
      <c r="A4" s="208">
        <v>1737.0</v>
      </c>
      <c r="B4" s="9" t="s">
        <v>4958</v>
      </c>
      <c r="C4" s="8" t="s">
        <v>4959</v>
      </c>
      <c r="D4" s="208" t="s">
        <v>4960</v>
      </c>
      <c r="E4" s="208" t="s">
        <v>4961</v>
      </c>
      <c r="F4" s="208" t="s">
        <v>41</v>
      </c>
      <c r="G4" s="208"/>
      <c r="H4" s="208">
        <v>2017.0</v>
      </c>
      <c r="I4" s="208" t="s">
        <v>4962</v>
      </c>
      <c r="J4" s="208" t="s">
        <v>4963</v>
      </c>
      <c r="K4" s="209" t="s">
        <v>4964</v>
      </c>
      <c r="L4" s="208" t="s">
        <v>4954</v>
      </c>
      <c r="M4" s="207"/>
      <c r="N4" s="208" t="s">
        <v>23</v>
      </c>
      <c r="O4" s="5"/>
      <c r="P4" s="3"/>
      <c r="Q4" s="3"/>
      <c r="R4" s="3"/>
      <c r="S4" s="3"/>
      <c r="T4" s="3"/>
      <c r="U4" s="3"/>
      <c r="V4" s="3"/>
      <c r="W4" s="3"/>
      <c r="X4" s="3"/>
      <c r="Y4" s="3"/>
      <c r="Z4" s="3"/>
      <c r="AA4" s="3"/>
      <c r="AB4" s="3"/>
    </row>
    <row r="5">
      <c r="A5" s="204">
        <v>1737.0</v>
      </c>
      <c r="B5" s="2" t="s">
        <v>4965</v>
      </c>
      <c r="C5" s="2" t="str">
        <f>IFERROR(__xludf.DUMMYFUNCTION("GOOGLETRANSLATE(B5)"),"Amendments to some laws of Ukraine
As for the set of ""green"" tariff")</f>
        <v>Amendments to some laws of Ukraine
As for the set of "green" tariff</v>
      </c>
      <c r="D5" s="204" t="s">
        <v>4960</v>
      </c>
      <c r="E5" s="204" t="s">
        <v>4961</v>
      </c>
      <c r="F5" s="204" t="s">
        <v>41</v>
      </c>
      <c r="G5" s="204"/>
      <c r="H5" s="204">
        <v>2009.0</v>
      </c>
      <c r="I5" s="204" t="s">
        <v>4962</v>
      </c>
      <c r="J5" s="204" t="s">
        <v>4966</v>
      </c>
      <c r="K5" s="205" t="s">
        <v>4967</v>
      </c>
      <c r="L5" s="204" t="s">
        <v>4954</v>
      </c>
      <c r="M5" s="138"/>
      <c r="N5" s="204" t="s">
        <v>23</v>
      </c>
      <c r="O5" s="25"/>
    </row>
    <row r="6">
      <c r="A6" s="204">
        <v>1737.0</v>
      </c>
      <c r="B6" s="210" t="s">
        <v>4968</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4960</v>
      </c>
      <c r="E6" s="204" t="s">
        <v>4961</v>
      </c>
      <c r="F6" s="204" t="s">
        <v>41</v>
      </c>
      <c r="G6" s="204"/>
      <c r="H6" s="204">
        <v>2013.0</v>
      </c>
      <c r="I6" s="204" t="s">
        <v>4962</v>
      </c>
      <c r="J6" s="204" t="s">
        <v>4969</v>
      </c>
      <c r="K6" s="205" t="s">
        <v>4970</v>
      </c>
      <c r="L6" s="204" t="s">
        <v>4954</v>
      </c>
      <c r="M6" s="138"/>
      <c r="N6" s="204" t="s">
        <v>23</v>
      </c>
      <c r="O6" s="25"/>
    </row>
    <row r="7">
      <c r="A7" s="208">
        <v>9213.0</v>
      </c>
      <c r="B7" s="8" t="s">
        <v>4971</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4960</v>
      </c>
      <c r="E7" s="208" t="s">
        <v>4961</v>
      </c>
      <c r="F7" s="208" t="s">
        <v>41</v>
      </c>
      <c r="G7" s="207"/>
      <c r="H7" s="207"/>
      <c r="I7" s="208" t="s">
        <v>4962</v>
      </c>
      <c r="J7" s="208" t="s">
        <v>4972</v>
      </c>
      <c r="K7" s="209" t="s">
        <v>4973</v>
      </c>
      <c r="L7" s="208" t="s">
        <v>4954</v>
      </c>
      <c r="M7" s="207"/>
      <c r="N7" s="208" t="s">
        <v>23</v>
      </c>
      <c r="O7" s="5"/>
      <c r="P7" s="3"/>
      <c r="Q7" s="3"/>
      <c r="R7" s="3"/>
      <c r="S7" s="3"/>
      <c r="T7" s="3"/>
      <c r="U7" s="3"/>
      <c r="V7" s="3"/>
      <c r="W7" s="3"/>
      <c r="X7" s="3"/>
      <c r="Y7" s="3"/>
      <c r="Z7" s="3"/>
      <c r="AA7" s="3"/>
      <c r="AB7" s="3"/>
    </row>
    <row r="8">
      <c r="A8" s="204">
        <v>9213.0</v>
      </c>
      <c r="B8" s="2" t="s">
        <v>4974</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4960</v>
      </c>
      <c r="E8" s="204" t="s">
        <v>4961</v>
      </c>
      <c r="F8" s="204" t="s">
        <v>41</v>
      </c>
      <c r="G8" s="204"/>
      <c r="H8" s="204">
        <v>2020.0</v>
      </c>
      <c r="I8" s="204" t="s">
        <v>4962</v>
      </c>
      <c r="J8" s="205" t="s">
        <v>4975</v>
      </c>
      <c r="K8" s="205" t="s">
        <v>4976</v>
      </c>
      <c r="L8" s="204" t="s">
        <v>4954</v>
      </c>
      <c r="M8" s="138"/>
      <c r="N8" s="204" t="s">
        <v>4977</v>
      </c>
      <c r="O8" s="25"/>
    </row>
    <row r="9">
      <c r="A9" s="204">
        <v>9213.0</v>
      </c>
      <c r="B9" s="2" t="s">
        <v>4978</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4960</v>
      </c>
      <c r="E9" s="204" t="s">
        <v>4961</v>
      </c>
      <c r="F9" s="204" t="s">
        <v>41</v>
      </c>
      <c r="G9" s="204"/>
      <c r="H9" s="204">
        <v>2020.0</v>
      </c>
      <c r="I9" s="204" t="s">
        <v>4962</v>
      </c>
      <c r="J9" s="205" t="s">
        <v>4979</v>
      </c>
      <c r="K9" s="205" t="s">
        <v>4980</v>
      </c>
      <c r="L9" s="204" t="s">
        <v>4954</v>
      </c>
      <c r="M9" s="138"/>
      <c r="N9" s="204" t="s">
        <v>4977</v>
      </c>
      <c r="O9" s="25"/>
    </row>
    <row r="10">
      <c r="A10" s="204">
        <v>9755.0</v>
      </c>
      <c r="B10" s="2" t="s">
        <v>4981</v>
      </c>
      <c r="C10" s="2" t="str">
        <f>IFERROR(__xludf.DUMMYFUNCTION("GOOGLETRANSLATE(B10)"),"Order on approval of minimum requirements for the energy efficiency of buildings")</f>
        <v>Order on approval of minimum requirements for the energy efficiency of buildings</v>
      </c>
      <c r="D10" s="204" t="s">
        <v>4960</v>
      </c>
      <c r="E10" s="204" t="s">
        <v>4961</v>
      </c>
      <c r="F10" s="204" t="s">
        <v>1340</v>
      </c>
      <c r="G10" s="204"/>
      <c r="H10" s="204">
        <v>2020.0</v>
      </c>
      <c r="I10" s="204" t="s">
        <v>4962</v>
      </c>
      <c r="J10" s="204" t="s">
        <v>4982</v>
      </c>
      <c r="K10" s="205" t="s">
        <v>4983</v>
      </c>
      <c r="L10" s="204" t="s">
        <v>4954</v>
      </c>
      <c r="M10" s="138"/>
      <c r="N10" s="204" t="s">
        <v>92</v>
      </c>
      <c r="O10" s="25"/>
    </row>
    <row r="11">
      <c r="A11" s="204">
        <v>9755.0</v>
      </c>
      <c r="B11" s="2" t="s">
        <v>4984</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4960</v>
      </c>
      <c r="E11" s="204" t="s">
        <v>4961</v>
      </c>
      <c r="F11" s="204" t="s">
        <v>1340</v>
      </c>
      <c r="G11" s="204"/>
      <c r="H11" s="204">
        <v>2020.0</v>
      </c>
      <c r="I11" s="204" t="s">
        <v>4962</v>
      </c>
      <c r="J11" s="204" t="s">
        <v>4985</v>
      </c>
      <c r="K11" s="205" t="s">
        <v>4986</v>
      </c>
      <c r="L11" s="204" t="s">
        <v>4954</v>
      </c>
      <c r="M11" s="138"/>
      <c r="N11" s="204" t="s">
        <v>92</v>
      </c>
      <c r="O11" s="25"/>
    </row>
    <row r="12">
      <c r="A12" s="204">
        <v>10115.0</v>
      </c>
      <c r="B12" s="2" t="s">
        <v>4987</v>
      </c>
      <c r="C12" s="2" t="str">
        <f>IFERROR(__xludf.DUMMYFUNCTION("GOOGLETRANSLATE(B12)"),"National Economic Strategy for the period up to 2030
")</f>
        <v>National Economic Strategy for the period up to 2030
</v>
      </c>
      <c r="D12" s="204" t="s">
        <v>4960</v>
      </c>
      <c r="E12" s="204" t="s">
        <v>4961</v>
      </c>
      <c r="F12" s="204" t="s">
        <v>144</v>
      </c>
      <c r="G12" s="204"/>
      <c r="H12" s="204">
        <v>2021.0</v>
      </c>
      <c r="I12" s="204" t="s">
        <v>4962</v>
      </c>
      <c r="J12" s="204" t="s">
        <v>4988</v>
      </c>
      <c r="K12" s="205" t="s">
        <v>4989</v>
      </c>
      <c r="L12" s="204" t="s">
        <v>4954</v>
      </c>
      <c r="M12" s="138"/>
      <c r="N12" s="204" t="s">
        <v>2232</v>
      </c>
      <c r="O12" s="25"/>
    </row>
    <row r="13">
      <c r="A13" s="204">
        <v>10115.0</v>
      </c>
      <c r="B13" s="2" t="s">
        <v>4990</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4960</v>
      </c>
      <c r="E13" s="204" t="s">
        <v>4961</v>
      </c>
      <c r="F13" s="204" t="s">
        <v>137</v>
      </c>
      <c r="G13" s="204"/>
      <c r="H13" s="204">
        <v>2021.0</v>
      </c>
      <c r="I13" s="204" t="s">
        <v>4962</v>
      </c>
      <c r="J13" s="204" t="s">
        <v>4991</v>
      </c>
      <c r="K13" s="205" t="s">
        <v>4992</v>
      </c>
      <c r="L13" s="204" t="s">
        <v>4954</v>
      </c>
      <c r="M13" s="138"/>
      <c r="N13" s="204" t="s">
        <v>275</v>
      </c>
      <c r="O13" s="25"/>
    </row>
    <row r="14">
      <c r="A14" s="204">
        <v>10294.0</v>
      </c>
      <c r="B14" s="211" t="s">
        <v>4993</v>
      </c>
      <c r="C14" s="2" t="str">
        <f>IFERROR(__xludf.DUMMYFUNCTION("GOOGLETRANSLATE(B14)"),"Infrastructure Reform")</f>
        <v>Infrastructure Reform</v>
      </c>
      <c r="D14" s="204" t="s">
        <v>4960</v>
      </c>
      <c r="E14" s="204" t="s">
        <v>4961</v>
      </c>
      <c r="F14" s="204" t="s">
        <v>295</v>
      </c>
      <c r="G14" s="138"/>
      <c r="H14" s="138"/>
      <c r="I14" s="204" t="s">
        <v>4962</v>
      </c>
      <c r="J14" s="204" t="s">
        <v>4994</v>
      </c>
      <c r="K14" s="205" t="s">
        <v>4995</v>
      </c>
      <c r="L14" s="204" t="s">
        <v>4954</v>
      </c>
      <c r="M14" s="138"/>
      <c r="N14" s="204" t="s">
        <v>275</v>
      </c>
      <c r="O14" s="25"/>
    </row>
    <row r="15">
      <c r="A15" s="204">
        <v>10294.0</v>
      </c>
      <c r="B15" s="211" t="s">
        <v>4996</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4960</v>
      </c>
      <c r="E15" s="204" t="s">
        <v>4961</v>
      </c>
      <c r="F15" s="204" t="s">
        <v>295</v>
      </c>
      <c r="G15" s="138"/>
      <c r="H15" s="138"/>
      <c r="I15" s="204" t="s">
        <v>4962</v>
      </c>
      <c r="J15" s="204" t="s">
        <v>4997</v>
      </c>
      <c r="K15" s="212" t="s">
        <v>4998</v>
      </c>
      <c r="L15" s="204" t="s">
        <v>4954</v>
      </c>
      <c r="M15" s="138"/>
      <c r="N15" s="204" t="s">
        <v>275</v>
      </c>
      <c r="O15" s="25"/>
    </row>
    <row r="16">
      <c r="A16" s="204">
        <v>10294.0</v>
      </c>
      <c r="B16" s="1" t="s">
        <v>4999</v>
      </c>
      <c r="C16" s="1" t="s">
        <v>5000</v>
      </c>
      <c r="D16" s="204" t="s">
        <v>4960</v>
      </c>
      <c r="E16" s="204" t="s">
        <v>4961</v>
      </c>
      <c r="F16" s="204" t="s">
        <v>1340</v>
      </c>
      <c r="G16" s="204"/>
      <c r="H16" s="204">
        <v>2018.0</v>
      </c>
      <c r="I16" s="204" t="s">
        <v>4962</v>
      </c>
      <c r="J16" s="204" t="s">
        <v>5001</v>
      </c>
      <c r="K16" s="205" t="s">
        <v>5002</v>
      </c>
      <c r="L16" s="204" t="s">
        <v>4954</v>
      </c>
      <c r="M16" s="138"/>
      <c r="N16" s="204" t="s">
        <v>23</v>
      </c>
      <c r="O16" s="25"/>
    </row>
    <row r="17">
      <c r="A17" s="204">
        <v>1746.0</v>
      </c>
      <c r="B17" s="1" t="s">
        <v>5003</v>
      </c>
      <c r="C17" s="2" t="str">
        <f>IFERROR(__xludf.DUMMYFUNCTION("googletranslate(B17)"),"The National Adaptation Programme: Making the country resilient to a changing climate")</f>
        <v>The National Adaptation Programme: Making the country resilient to a changing climate</v>
      </c>
      <c r="D17" s="204" t="s">
        <v>5004</v>
      </c>
      <c r="E17" s="204" t="s">
        <v>5005</v>
      </c>
      <c r="F17" s="204" t="s">
        <v>850</v>
      </c>
      <c r="G17" s="204"/>
      <c r="H17" s="204">
        <v>2013.0</v>
      </c>
      <c r="I17" s="204" t="s">
        <v>24</v>
      </c>
      <c r="J17" s="204" t="s">
        <v>5006</v>
      </c>
      <c r="K17" s="205" t="s">
        <v>5007</v>
      </c>
      <c r="L17" s="204" t="s">
        <v>4954</v>
      </c>
      <c r="M17" s="138"/>
      <c r="N17" s="204" t="s">
        <v>23</v>
      </c>
      <c r="O17" s="25"/>
    </row>
    <row r="18">
      <c r="A18" s="204">
        <v>1746.0</v>
      </c>
      <c r="B18" s="1" t="s">
        <v>5008</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5004</v>
      </c>
      <c r="E18" s="204" t="s">
        <v>5005</v>
      </c>
      <c r="F18" s="204" t="s">
        <v>144</v>
      </c>
      <c r="G18" s="204"/>
      <c r="H18" s="204">
        <v>2018.0</v>
      </c>
      <c r="I18" s="204" t="s">
        <v>24</v>
      </c>
      <c r="J18" s="204" t="s">
        <v>5009</v>
      </c>
      <c r="K18" s="205" t="s">
        <v>5010</v>
      </c>
      <c r="L18" s="204" t="s">
        <v>4954</v>
      </c>
      <c r="M18" s="138"/>
      <c r="N18" s="204" t="s">
        <v>23</v>
      </c>
      <c r="O18" s="25"/>
    </row>
    <row r="19">
      <c r="A19" s="204">
        <v>1754.0</v>
      </c>
      <c r="B19" s="213" t="s">
        <v>5011</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5004</v>
      </c>
      <c r="E19" s="204" t="s">
        <v>5005</v>
      </c>
      <c r="F19" s="208" t="s">
        <v>407</v>
      </c>
      <c r="G19" s="204"/>
      <c r="H19" s="204">
        <v>2020.0</v>
      </c>
      <c r="I19" s="204" t="s">
        <v>24</v>
      </c>
      <c r="J19" s="204" t="s">
        <v>5012</v>
      </c>
      <c r="K19" s="205" t="s">
        <v>5013</v>
      </c>
      <c r="L19" s="204" t="s">
        <v>4954</v>
      </c>
      <c r="M19" s="138"/>
      <c r="N19" s="204" t="s">
        <v>92</v>
      </c>
      <c r="O19" s="25"/>
    </row>
    <row r="20">
      <c r="A20" s="204">
        <v>1754.0</v>
      </c>
      <c r="B20" s="2" t="s">
        <v>5014</v>
      </c>
      <c r="C20" s="2" t="str">
        <f>IFERROR(__xludf.DUMMYFUNCTION("googletranslate(B20)"),"About the Feed-in Tariff Scheme")</f>
        <v>About the Feed-in Tariff Scheme</v>
      </c>
      <c r="D20" s="204" t="s">
        <v>5004</v>
      </c>
      <c r="E20" s="204" t="s">
        <v>5005</v>
      </c>
      <c r="F20" s="208" t="s">
        <v>1532</v>
      </c>
      <c r="G20" s="207"/>
      <c r="H20" s="207"/>
      <c r="I20" s="204" t="s">
        <v>24</v>
      </c>
      <c r="J20" s="204" t="s">
        <v>5015</v>
      </c>
      <c r="K20" s="205" t="s">
        <v>5016</v>
      </c>
      <c r="L20" s="204" t="s">
        <v>4954</v>
      </c>
      <c r="M20" s="138"/>
      <c r="N20" s="204" t="s">
        <v>326</v>
      </c>
      <c r="O20" s="25"/>
    </row>
    <row r="21">
      <c r="A21" s="204">
        <v>1754.0</v>
      </c>
      <c r="B21" s="214" t="s">
        <v>5017</v>
      </c>
      <c r="C21" s="2" t="str">
        <f>IFERROR(__xludf.DUMMYFUNCTION("googletranslate(B21)"),"The Feed-in Tariffs (Amendment) (Coronavirus) Order 2020")</f>
        <v>The Feed-in Tariffs (Amendment) (Coronavirus) Order 2020</v>
      </c>
      <c r="D21" s="204" t="s">
        <v>5004</v>
      </c>
      <c r="E21" s="204" t="s">
        <v>5005</v>
      </c>
      <c r="F21" s="204" t="s">
        <v>1340</v>
      </c>
      <c r="G21" s="204"/>
      <c r="H21" s="204">
        <v>2020.0</v>
      </c>
      <c r="I21" s="204" t="s">
        <v>24</v>
      </c>
      <c r="J21" s="204" t="s">
        <v>5018</v>
      </c>
      <c r="K21" s="205" t="s">
        <v>5019</v>
      </c>
      <c r="L21" s="204" t="s">
        <v>4954</v>
      </c>
      <c r="M21" s="138"/>
      <c r="N21" s="204" t="s">
        <v>839</v>
      </c>
      <c r="O21" s="25"/>
    </row>
    <row r="22">
      <c r="A22" s="204">
        <v>1755.0</v>
      </c>
      <c r="B22" s="2" t="s">
        <v>5020</v>
      </c>
      <c r="C22" s="2" t="str">
        <f>IFERROR(__xludf.DUMMYFUNCTION("googletranslate(B22)"),"Climate Change Act 2008")</f>
        <v>Climate Change Act 2008</v>
      </c>
      <c r="D22" s="204" t="s">
        <v>5004</v>
      </c>
      <c r="E22" s="204" t="s">
        <v>5005</v>
      </c>
      <c r="F22" s="204" t="s">
        <v>45</v>
      </c>
      <c r="G22" s="204"/>
      <c r="H22" s="204">
        <v>2008.0</v>
      </c>
      <c r="I22" s="204" t="s">
        <v>24</v>
      </c>
      <c r="J22" s="204" t="s">
        <v>5021</v>
      </c>
      <c r="K22" s="205" t="s">
        <v>5022</v>
      </c>
      <c r="L22" s="204" t="s">
        <v>4954</v>
      </c>
      <c r="M22" s="138"/>
      <c r="N22" s="204" t="s">
        <v>839</v>
      </c>
      <c r="O22" s="25"/>
    </row>
    <row r="23">
      <c r="A23" s="204">
        <v>1755.0</v>
      </c>
      <c r="B23" s="2" t="s">
        <v>5023</v>
      </c>
      <c r="C23" s="2" t="str">
        <f>IFERROR(__xludf.DUMMYFUNCTION("googletranslate(B23)"),"The Sixth Carbon Budget")</f>
        <v>The Sixth Carbon Budget</v>
      </c>
      <c r="D23" s="204" t="s">
        <v>5004</v>
      </c>
      <c r="E23" s="204" t="s">
        <v>5005</v>
      </c>
      <c r="F23" s="208" t="s">
        <v>45</v>
      </c>
      <c r="G23" s="204"/>
      <c r="H23" s="204">
        <v>2020.0</v>
      </c>
      <c r="I23" s="204" t="s">
        <v>24</v>
      </c>
      <c r="J23" s="204" t="s">
        <v>5024</v>
      </c>
      <c r="K23" s="205" t="s">
        <v>5025</v>
      </c>
      <c r="L23" s="204" t="s">
        <v>4954</v>
      </c>
      <c r="M23" s="138"/>
      <c r="N23" s="204" t="s">
        <v>326</v>
      </c>
      <c r="O23" s="25"/>
    </row>
    <row r="24">
      <c r="A24" s="204">
        <v>1765.0</v>
      </c>
      <c r="B24" s="2" t="s">
        <v>5026</v>
      </c>
      <c r="C24" s="2" t="str">
        <f>IFERROR(__xludf.DUMMYFUNCTION("googletranslate(B24)"),"Energy Act 2013")</f>
        <v>Energy Act 2013</v>
      </c>
      <c r="D24" s="204" t="s">
        <v>5004</v>
      </c>
      <c r="E24" s="204" t="s">
        <v>5005</v>
      </c>
      <c r="F24" s="204" t="s">
        <v>45</v>
      </c>
      <c r="G24" s="204"/>
      <c r="H24" s="204">
        <v>2013.0</v>
      </c>
      <c r="I24" s="204" t="s">
        <v>24</v>
      </c>
      <c r="J24" s="204" t="s">
        <v>5027</v>
      </c>
      <c r="K24" s="205" t="s">
        <v>5028</v>
      </c>
      <c r="L24" s="204" t="s">
        <v>4954</v>
      </c>
      <c r="M24" s="138"/>
      <c r="N24" s="204" t="s">
        <v>839</v>
      </c>
      <c r="O24" s="25"/>
    </row>
    <row r="25">
      <c r="A25" s="204">
        <v>1765.0</v>
      </c>
      <c r="B25" s="2" t="s">
        <v>5029</v>
      </c>
      <c r="C25" s="2" t="str">
        <f>IFERROR(__xludf.DUMMYFUNCTION("googletranslate(B25)"),"Contracts for Difference")</f>
        <v>Contracts for Difference</v>
      </c>
      <c r="D25" s="204" t="s">
        <v>5004</v>
      </c>
      <c r="E25" s="204" t="s">
        <v>5005</v>
      </c>
      <c r="F25" s="208" t="s">
        <v>407</v>
      </c>
      <c r="G25" s="207"/>
      <c r="H25" s="207"/>
      <c r="I25" s="204" t="s">
        <v>24</v>
      </c>
      <c r="J25" s="204" t="s">
        <v>5030</v>
      </c>
      <c r="K25" s="205" t="s">
        <v>5031</v>
      </c>
      <c r="L25" s="204" t="s">
        <v>4954</v>
      </c>
      <c r="M25" s="138"/>
      <c r="N25" s="204" t="s">
        <v>37</v>
      </c>
      <c r="O25" s="25"/>
    </row>
    <row r="26">
      <c r="A26" s="204">
        <v>1766.0</v>
      </c>
      <c r="B26" s="214" t="s">
        <v>5032</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5004</v>
      </c>
      <c r="E26" s="204" t="s">
        <v>5005</v>
      </c>
      <c r="F26" s="204" t="s">
        <v>34</v>
      </c>
      <c r="G26" s="204"/>
      <c r="H26" s="204">
        <v>2020.0</v>
      </c>
      <c r="I26" s="204" t="s">
        <v>24</v>
      </c>
      <c r="J26" s="204" t="s">
        <v>5033</v>
      </c>
      <c r="K26" s="205" t="s">
        <v>5034</v>
      </c>
      <c r="L26" s="204" t="s">
        <v>4954</v>
      </c>
      <c r="M26" s="138"/>
      <c r="N26" s="204" t="s">
        <v>839</v>
      </c>
      <c r="O26" s="25"/>
    </row>
    <row r="27">
      <c r="A27" s="204">
        <v>1766.0</v>
      </c>
      <c r="B27" s="2" t="s">
        <v>5035</v>
      </c>
      <c r="C27" s="2" t="str">
        <f>IFERROR(__xludf.DUMMYFUNCTION("googletranslate(B27)"),"Climate Change Agreements")</f>
        <v>Climate Change Agreements</v>
      </c>
      <c r="D27" s="204" t="s">
        <v>5004</v>
      </c>
      <c r="E27" s="204" t="s">
        <v>5005</v>
      </c>
      <c r="F27" s="208" t="s">
        <v>407</v>
      </c>
      <c r="G27" s="208"/>
      <c r="H27" s="208">
        <v>2014.0</v>
      </c>
      <c r="I27" s="204" t="s">
        <v>24</v>
      </c>
      <c r="J27" s="204" t="s">
        <v>5036</v>
      </c>
      <c r="K27" s="205" t="s">
        <v>5037</v>
      </c>
      <c r="L27" s="204" t="s">
        <v>4954</v>
      </c>
      <c r="M27" s="138"/>
      <c r="N27" s="204" t="s">
        <v>92</v>
      </c>
      <c r="O27" s="25"/>
    </row>
    <row r="28">
      <c r="A28" s="204">
        <v>1767.0</v>
      </c>
      <c r="B28" s="2" t="s">
        <v>5038</v>
      </c>
      <c r="C28" s="2" t="str">
        <f>IFERROR(__xludf.DUMMYFUNCTION("googletranslate(B28)"),"Finance Act 2000 - Schedule 6: Climate Change Levy")</f>
        <v>Finance Act 2000 - Schedule 6: Climate Change Levy</v>
      </c>
      <c r="D28" s="204" t="s">
        <v>5004</v>
      </c>
      <c r="E28" s="204" t="s">
        <v>5005</v>
      </c>
      <c r="F28" s="204" t="s">
        <v>45</v>
      </c>
      <c r="G28" s="204"/>
      <c r="H28" s="204">
        <v>2000.0</v>
      </c>
      <c r="I28" s="204" t="s">
        <v>24</v>
      </c>
      <c r="J28" s="204" t="s">
        <v>5039</v>
      </c>
      <c r="K28" s="205" t="s">
        <v>5040</v>
      </c>
      <c r="L28" s="204" t="s">
        <v>4954</v>
      </c>
      <c r="M28" s="138"/>
      <c r="N28" s="204" t="s">
        <v>23</v>
      </c>
      <c r="O28" s="25"/>
    </row>
    <row r="29">
      <c r="A29" s="204">
        <v>1767.0</v>
      </c>
      <c r="B29" s="198" t="s">
        <v>5041</v>
      </c>
      <c r="C29" s="2" t="str">
        <f>IFERROR(__xludf.DUMMYFUNCTION("googletranslate(B29)"),"The Climate Change Levy (Registration and Miscellaneous Provisions) Regulations 2001")</f>
        <v>The Climate Change Levy (Registration and Miscellaneous Provisions) Regulations 2001</v>
      </c>
      <c r="D29" s="204" t="s">
        <v>5004</v>
      </c>
      <c r="E29" s="204" t="s">
        <v>5005</v>
      </c>
      <c r="F29" s="204" t="s">
        <v>34</v>
      </c>
      <c r="G29" s="204"/>
      <c r="H29" s="204">
        <v>2001.0</v>
      </c>
      <c r="I29" s="204" t="s">
        <v>24</v>
      </c>
      <c r="J29" s="204" t="s">
        <v>5042</v>
      </c>
      <c r="K29" s="205" t="s">
        <v>5043</v>
      </c>
      <c r="L29" s="204" t="s">
        <v>4954</v>
      </c>
      <c r="M29" s="138"/>
      <c r="N29" s="204" t="s">
        <v>23</v>
      </c>
      <c r="O29" s="25"/>
    </row>
    <row r="30">
      <c r="A30" s="204">
        <v>2045.0</v>
      </c>
      <c r="B30" s="2" t="s">
        <v>5044</v>
      </c>
      <c r="C30" s="2" t="str">
        <f>IFERROR(__xludf.DUMMYFUNCTION("googletranslate(B30)"),"Energy Act 2016 - Chapter 20")</f>
        <v>Energy Act 2016 - Chapter 20</v>
      </c>
      <c r="D30" s="204" t="s">
        <v>5004</v>
      </c>
      <c r="E30" s="204" t="s">
        <v>5005</v>
      </c>
      <c r="F30" s="204" t="s">
        <v>45</v>
      </c>
      <c r="G30" s="204"/>
      <c r="H30" s="204">
        <v>2016.0</v>
      </c>
      <c r="I30" s="204" t="s">
        <v>24</v>
      </c>
      <c r="J30" s="204" t="s">
        <v>5045</v>
      </c>
      <c r="K30" s="205" t="s">
        <v>5046</v>
      </c>
      <c r="L30" s="204" t="s">
        <v>4954</v>
      </c>
      <c r="M30" s="138"/>
      <c r="N30" s="204" t="s">
        <v>23</v>
      </c>
      <c r="O30" s="25"/>
    </row>
    <row r="31">
      <c r="A31" s="204">
        <v>2045.0</v>
      </c>
      <c r="B31" s="2" t="s">
        <v>5047</v>
      </c>
      <c r="C31" s="2" t="str">
        <f>IFERROR(__xludf.DUMMYFUNCTION("googletranslate(B31)"),"Revised Oil &amp; Gas Authority Strategy comes into force")</f>
        <v>Revised Oil &amp; Gas Authority Strategy comes into force</v>
      </c>
      <c r="D31" s="204" t="s">
        <v>5004</v>
      </c>
      <c r="E31" s="204" t="s">
        <v>5005</v>
      </c>
      <c r="F31" s="208" t="s">
        <v>295</v>
      </c>
      <c r="G31" s="204"/>
      <c r="H31" s="204">
        <v>2021.0</v>
      </c>
      <c r="I31" s="204" t="s">
        <v>24</v>
      </c>
      <c r="J31" s="204" t="s">
        <v>5048</v>
      </c>
      <c r="K31" s="205" t="s">
        <v>5049</v>
      </c>
      <c r="L31" s="204" t="s">
        <v>4954</v>
      </c>
      <c r="M31" s="138"/>
      <c r="N31" s="204" t="s">
        <v>92</v>
      </c>
      <c r="O31" s="25"/>
    </row>
    <row r="32">
      <c r="A32" s="204">
        <v>9460.0</v>
      </c>
      <c r="B32" s="2" t="s">
        <v>5050</v>
      </c>
      <c r="C32" s="2" t="str">
        <f>IFERROR(__xludf.DUMMYFUNCTION("googletranslate(B32)"),"Cycling and Walking Investment Strategy")</f>
        <v>Cycling and Walking Investment Strategy</v>
      </c>
      <c r="D32" s="204" t="s">
        <v>5004</v>
      </c>
      <c r="E32" s="204" t="s">
        <v>5005</v>
      </c>
      <c r="F32" s="204" t="s">
        <v>144</v>
      </c>
      <c r="G32" s="204"/>
      <c r="H32" s="204">
        <v>2017.0</v>
      </c>
      <c r="I32" s="204" t="s">
        <v>24</v>
      </c>
      <c r="J32" s="204" t="s">
        <v>5051</v>
      </c>
      <c r="K32" s="205" t="s">
        <v>5052</v>
      </c>
      <c r="L32" s="204" t="s">
        <v>4954</v>
      </c>
      <c r="M32" s="138"/>
      <c r="N32" s="204" t="s">
        <v>23</v>
      </c>
      <c r="O32" s="25"/>
    </row>
    <row r="33">
      <c r="A33" s="204">
        <v>9460.0</v>
      </c>
      <c r="B33" s="213" t="s">
        <v>5053</v>
      </c>
      <c r="C33" s="2" t="str">
        <f>IFERROR(__xludf.DUMMYFUNCTION("googletranslate(B33)"),"£2 billion package to create new era for cycling and walking")</f>
        <v>£2 billion package to create new era for cycling and walking</v>
      </c>
      <c r="D33" s="204" t="s">
        <v>5004</v>
      </c>
      <c r="E33" s="204" t="s">
        <v>5005</v>
      </c>
      <c r="F33" s="208" t="s">
        <v>295</v>
      </c>
      <c r="G33" s="204"/>
      <c r="H33" s="204">
        <v>2020.0</v>
      </c>
      <c r="I33" s="204" t="s">
        <v>24</v>
      </c>
      <c r="J33" s="204" t="s">
        <v>5054</v>
      </c>
      <c r="K33" s="205" t="s">
        <v>5055</v>
      </c>
      <c r="L33" s="204" t="s">
        <v>4954</v>
      </c>
      <c r="M33" s="138"/>
      <c r="N33" s="204" t="s">
        <v>92</v>
      </c>
      <c r="O33" s="25"/>
    </row>
    <row r="34">
      <c r="A34" s="204">
        <v>9487.0</v>
      </c>
      <c r="B34" s="1" t="s">
        <v>5056</v>
      </c>
      <c r="C34" s="2" t="str">
        <f>IFERROR(__xludf.DUMMYFUNCTION("googletranslate(B34)"),"Gear Change: A bold vision for cycling and walking")</f>
        <v>Gear Change: A bold vision for cycling and walking</v>
      </c>
      <c r="D34" s="204" t="s">
        <v>5004</v>
      </c>
      <c r="E34" s="204" t="s">
        <v>5005</v>
      </c>
      <c r="F34" s="204" t="s">
        <v>144</v>
      </c>
      <c r="G34" s="204"/>
      <c r="H34" s="204">
        <v>2020.0</v>
      </c>
      <c r="I34" s="204" t="s">
        <v>24</v>
      </c>
      <c r="J34" s="204" t="s">
        <v>5057</v>
      </c>
      <c r="K34" s="205" t="s">
        <v>5058</v>
      </c>
      <c r="L34" s="204" t="s">
        <v>4954</v>
      </c>
      <c r="M34" s="138"/>
      <c r="N34" s="204" t="s">
        <v>23</v>
      </c>
      <c r="O34" s="25"/>
    </row>
    <row r="35">
      <c r="A35" s="204">
        <v>9487.0</v>
      </c>
      <c r="B35" s="213" t="s">
        <v>5059</v>
      </c>
      <c r="C35" s="2" t="str">
        <f>IFERROR(__xludf.DUMMYFUNCTION("googletranslate(B35)"),"PM kickstarts £2bn cycling and walking revolution")</f>
        <v>PM kickstarts £2bn cycling and walking revolution</v>
      </c>
      <c r="D35" s="204" t="s">
        <v>5004</v>
      </c>
      <c r="E35" s="204" t="s">
        <v>5005</v>
      </c>
      <c r="F35" s="208" t="s">
        <v>295</v>
      </c>
      <c r="G35" s="204"/>
      <c r="H35" s="204">
        <v>2020.0</v>
      </c>
      <c r="I35" s="204" t="s">
        <v>24</v>
      </c>
      <c r="J35" s="204" t="s">
        <v>5060</v>
      </c>
      <c r="K35" s="205" t="s">
        <v>5061</v>
      </c>
      <c r="L35" s="204" t="s">
        <v>4954</v>
      </c>
      <c r="M35" s="138"/>
      <c r="N35" s="204" t="s">
        <v>92</v>
      </c>
      <c r="O35" s="25"/>
    </row>
    <row r="36">
      <c r="A36" s="204">
        <v>9743.0</v>
      </c>
      <c r="B36" s="215" t="s">
        <v>5062</v>
      </c>
      <c r="C36" s="2" t="str">
        <f>IFERROR(__xludf.DUMMYFUNCTION("googletranslate(B36)"),"Infrastructure Act 2015")</f>
        <v>Infrastructure Act 2015</v>
      </c>
      <c r="D36" s="204" t="s">
        <v>5004</v>
      </c>
      <c r="E36" s="204" t="s">
        <v>5005</v>
      </c>
      <c r="F36" s="204" t="s">
        <v>45</v>
      </c>
      <c r="G36" s="204"/>
      <c r="H36" s="204">
        <v>2015.0</v>
      </c>
      <c r="I36" s="204" t="s">
        <v>24</v>
      </c>
      <c r="J36" s="204" t="s">
        <v>5063</v>
      </c>
      <c r="K36" s="205" t="s">
        <v>5064</v>
      </c>
      <c r="L36" s="204" t="s">
        <v>4954</v>
      </c>
      <c r="M36" s="138"/>
      <c r="N36" s="204" t="s">
        <v>839</v>
      </c>
      <c r="O36" s="25"/>
    </row>
    <row r="37">
      <c r="A37" s="204">
        <v>9743.0</v>
      </c>
      <c r="B37" s="2" t="s">
        <v>5065</v>
      </c>
      <c r="C37" s="2" t="str">
        <f>IFERROR(__xludf.DUMMYFUNCTION("googletranslate(B37)"),"Infrastructure Act 2015 - Chapter 7")</f>
        <v>Infrastructure Act 2015 - Chapter 7</v>
      </c>
      <c r="D37" s="204" t="s">
        <v>5004</v>
      </c>
      <c r="E37" s="204" t="s">
        <v>5005</v>
      </c>
      <c r="F37" s="204" t="s">
        <v>45</v>
      </c>
      <c r="G37" s="204"/>
      <c r="H37" s="204">
        <v>2015.0</v>
      </c>
      <c r="I37" s="204" t="s">
        <v>24</v>
      </c>
      <c r="J37" s="204" t="s">
        <v>5066</v>
      </c>
      <c r="K37" s="205" t="s">
        <v>5067</v>
      </c>
      <c r="L37" s="204" t="s">
        <v>4954</v>
      </c>
      <c r="M37" s="138"/>
      <c r="N37" s="204" t="s">
        <v>23</v>
      </c>
      <c r="O37" s="25"/>
    </row>
    <row r="38">
      <c r="A38" s="204">
        <v>9942.0</v>
      </c>
      <c r="B38" s="216" t="s">
        <v>5068</v>
      </c>
      <c r="C38" s="2" t="str">
        <f>IFERROR(__xludf.DUMMYFUNCTION("googletranslate(B38)"),"Streamlined Energy and Carbon Reporting (SECR) for academy trusts")</f>
        <v>Streamlined Energy and Carbon Reporting (SECR) for academy trusts</v>
      </c>
      <c r="D38" s="204" t="s">
        <v>5004</v>
      </c>
      <c r="E38" s="204" t="s">
        <v>5005</v>
      </c>
      <c r="F38" s="208" t="s">
        <v>34</v>
      </c>
      <c r="G38" s="207"/>
      <c r="H38" s="207"/>
      <c r="I38" s="204" t="s">
        <v>24</v>
      </c>
      <c r="J38" s="204" t="s">
        <v>5069</v>
      </c>
      <c r="K38" s="205" t="s">
        <v>5070</v>
      </c>
      <c r="L38" s="204" t="s">
        <v>4954</v>
      </c>
      <c r="M38" s="138"/>
      <c r="N38" s="204" t="s">
        <v>92</v>
      </c>
      <c r="O38" s="25"/>
    </row>
    <row r="39">
      <c r="A39" s="204">
        <v>9942.0</v>
      </c>
      <c r="B39" s="214" t="s">
        <v>5071</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5004</v>
      </c>
      <c r="E39" s="204" t="s">
        <v>5005</v>
      </c>
      <c r="F39" s="204" t="s">
        <v>34</v>
      </c>
      <c r="G39" s="204"/>
      <c r="H39" s="204">
        <v>2018.0</v>
      </c>
      <c r="I39" s="204" t="s">
        <v>24</v>
      </c>
      <c r="J39" s="204" t="s">
        <v>5072</v>
      </c>
      <c r="K39" s="205" t="s">
        <v>5073</v>
      </c>
      <c r="L39" s="204" t="s">
        <v>4954</v>
      </c>
      <c r="M39" s="138"/>
      <c r="N39" s="204" t="s">
        <v>839</v>
      </c>
      <c r="O39" s="25"/>
    </row>
    <row r="40">
      <c r="A40" s="204">
        <v>9957.0</v>
      </c>
      <c r="B40" s="2" t="s">
        <v>5074</v>
      </c>
      <c r="C40" s="2" t="str">
        <f>IFERROR(__xludf.DUMMYFUNCTION("googletranslate(B40)"),"Water Act 2014")</f>
        <v>Water Act 2014</v>
      </c>
      <c r="D40" s="204" t="s">
        <v>5004</v>
      </c>
      <c r="E40" s="204" t="s">
        <v>5005</v>
      </c>
      <c r="F40" s="204" t="s">
        <v>45</v>
      </c>
      <c r="G40" s="204"/>
      <c r="H40" s="204">
        <v>2014.0</v>
      </c>
      <c r="I40" s="204" t="s">
        <v>24</v>
      </c>
      <c r="J40" s="204" t="s">
        <v>5075</v>
      </c>
      <c r="K40" s="205" t="s">
        <v>5076</v>
      </c>
      <c r="L40" s="204" t="s">
        <v>4954</v>
      </c>
      <c r="M40" s="138"/>
      <c r="N40" s="204" t="s">
        <v>839</v>
      </c>
      <c r="O40" s="25"/>
    </row>
    <row r="41">
      <c r="A41" s="204">
        <v>10238.0</v>
      </c>
      <c r="B41" s="213" t="s">
        <v>5077</v>
      </c>
      <c r="C41" s="2" t="str">
        <f>IFERROR(__xludf.DUMMYFUNCTION("googletranslate(B41)"),"Net Zero Strategy: Build Back Greener")</f>
        <v>Net Zero Strategy: Build Back Greener</v>
      </c>
      <c r="D41" s="204" t="s">
        <v>5004</v>
      </c>
      <c r="E41" s="204" t="s">
        <v>5005</v>
      </c>
      <c r="F41" s="208" t="s">
        <v>144</v>
      </c>
      <c r="G41" s="204"/>
      <c r="H41" s="204">
        <v>2021.0</v>
      </c>
      <c r="I41" s="204" t="s">
        <v>24</v>
      </c>
      <c r="J41" s="204" t="s">
        <v>5078</v>
      </c>
      <c r="K41" s="205" t="s">
        <v>5079</v>
      </c>
      <c r="L41" s="204" t="s">
        <v>4954</v>
      </c>
      <c r="M41" s="138"/>
      <c r="N41" s="204" t="s">
        <v>37</v>
      </c>
      <c r="O41" s="25"/>
    </row>
    <row r="42">
      <c r="A42" s="204">
        <v>10238.0</v>
      </c>
      <c r="B42" s="213" t="s">
        <v>5077</v>
      </c>
      <c r="C42" s="2" t="str">
        <f>IFERROR(__xludf.DUMMYFUNCTION("googletranslate(B42)"),"Net Zero Strategy: Build Back Greener")</f>
        <v>Net Zero Strategy: Build Back Greener</v>
      </c>
      <c r="D42" s="204" t="s">
        <v>5004</v>
      </c>
      <c r="E42" s="204" t="s">
        <v>5005</v>
      </c>
      <c r="F42" s="204" t="s">
        <v>144</v>
      </c>
      <c r="G42" s="204"/>
      <c r="H42" s="204">
        <v>2021.0</v>
      </c>
      <c r="I42" s="204" t="s">
        <v>24</v>
      </c>
      <c r="J42" s="204" t="s">
        <v>5080</v>
      </c>
      <c r="K42" s="205" t="s">
        <v>5081</v>
      </c>
      <c r="L42" s="204" t="s">
        <v>4954</v>
      </c>
      <c r="M42" s="138"/>
      <c r="N42" s="204" t="s">
        <v>37</v>
      </c>
      <c r="O42" s="25"/>
    </row>
    <row r="43">
      <c r="A43" s="208">
        <v>9746.0</v>
      </c>
      <c r="B43" s="217" t="s">
        <v>5082</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5083</v>
      </c>
      <c r="E43" s="208" t="s">
        <v>5084</v>
      </c>
      <c r="F43" s="208" t="s">
        <v>45</v>
      </c>
      <c r="G43" s="207"/>
      <c r="H43" s="207"/>
      <c r="I43" s="208" t="s">
        <v>24</v>
      </c>
      <c r="J43" s="208" t="s">
        <v>5085</v>
      </c>
      <c r="K43" s="209" t="s">
        <v>5086</v>
      </c>
      <c r="L43" s="208" t="s">
        <v>4954</v>
      </c>
      <c r="M43" s="207"/>
      <c r="N43" s="208" t="s">
        <v>37</v>
      </c>
      <c r="O43" s="5"/>
      <c r="P43" s="3"/>
      <c r="Q43" s="3"/>
      <c r="R43" s="3"/>
      <c r="S43" s="3"/>
      <c r="T43" s="3"/>
      <c r="U43" s="3"/>
      <c r="V43" s="3"/>
      <c r="W43" s="3"/>
      <c r="X43" s="3"/>
      <c r="Y43" s="3"/>
      <c r="Z43" s="3"/>
      <c r="AA43" s="3"/>
      <c r="AB43" s="3"/>
    </row>
    <row r="44">
      <c r="A44" s="204">
        <v>9746.0</v>
      </c>
      <c r="B44" s="218" t="s">
        <v>5087</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5083</v>
      </c>
      <c r="E44" s="204" t="s">
        <v>5084</v>
      </c>
      <c r="F44" s="208" t="s">
        <v>850</v>
      </c>
      <c r="G44" s="204"/>
      <c r="H44" s="204">
        <v>2021.0</v>
      </c>
      <c r="I44" s="204" t="s">
        <v>24</v>
      </c>
      <c r="J44" s="204" t="s">
        <v>5088</v>
      </c>
      <c r="K44" s="205" t="s">
        <v>5089</v>
      </c>
      <c r="L44" s="204" t="s">
        <v>4954</v>
      </c>
      <c r="M44" s="138"/>
      <c r="N44" s="204" t="s">
        <v>326</v>
      </c>
      <c r="O44" s="25"/>
    </row>
    <row r="45">
      <c r="A45" s="208">
        <v>9746.0</v>
      </c>
      <c r="B45" s="9" t="s">
        <v>5090</v>
      </c>
      <c r="C45" s="8" t="str">
        <f>IFERROR(__xludf.DUMMYFUNCTION("googletranslate(B45)"),"Environmental Protection Agency 40 CFR Parts 9 and 84")</f>
        <v>Environmental Protection Agency 40 CFR Parts 9 and 84</v>
      </c>
      <c r="D45" s="208" t="s">
        <v>5083</v>
      </c>
      <c r="E45" s="208" t="s">
        <v>5084</v>
      </c>
      <c r="F45" s="208" t="s">
        <v>850</v>
      </c>
      <c r="G45" s="204"/>
      <c r="H45" s="204">
        <v>2021.0</v>
      </c>
      <c r="I45" s="208" t="s">
        <v>24</v>
      </c>
      <c r="J45" s="208" t="s">
        <v>5091</v>
      </c>
      <c r="K45" s="209" t="s">
        <v>5092</v>
      </c>
      <c r="L45" s="208" t="s">
        <v>4954</v>
      </c>
      <c r="M45" s="207"/>
      <c r="N45" s="208" t="s">
        <v>23</v>
      </c>
      <c r="O45" s="5"/>
      <c r="P45" s="3"/>
      <c r="Q45" s="3"/>
      <c r="R45" s="3"/>
      <c r="S45" s="3"/>
      <c r="T45" s="3"/>
      <c r="U45" s="3"/>
      <c r="V45" s="3"/>
      <c r="W45" s="3"/>
      <c r="X45" s="3"/>
      <c r="Y45" s="3"/>
      <c r="Z45" s="3"/>
      <c r="AA45" s="3"/>
      <c r="AB45" s="3"/>
    </row>
    <row r="46">
      <c r="A46" s="204">
        <v>9748.0</v>
      </c>
      <c r="B46" s="219" t="s">
        <v>5093</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5083</v>
      </c>
      <c r="E46" s="204" t="s">
        <v>5084</v>
      </c>
      <c r="F46" s="204" t="s">
        <v>4474</v>
      </c>
      <c r="G46" s="204"/>
      <c r="H46" s="204">
        <v>2021.0</v>
      </c>
      <c r="I46" s="204" t="s">
        <v>24</v>
      </c>
      <c r="J46" s="204" t="s">
        <v>5094</v>
      </c>
      <c r="K46" s="205" t="s">
        <v>5095</v>
      </c>
      <c r="L46" s="204" t="s">
        <v>4954</v>
      </c>
      <c r="M46" s="138"/>
      <c r="N46" s="204" t="s">
        <v>326</v>
      </c>
      <c r="O46" s="25"/>
    </row>
    <row r="47">
      <c r="A47" s="220">
        <v>9748.0</v>
      </c>
      <c r="B47" s="221" t="s">
        <v>5096</v>
      </c>
      <c r="C47" s="2" t="str">
        <f>IFERROR(__xludf.DUMMYFUNCTION("googletranslate(B47)"),"Interior Department Suspends Oil and Gas Leases in Arctic National Wildlife Refuge")</f>
        <v>Interior Department Suspends Oil and Gas Leases in Arctic National Wildlife Refuge</v>
      </c>
      <c r="D47" s="220" t="s">
        <v>5083</v>
      </c>
      <c r="E47" s="220" t="s">
        <v>5084</v>
      </c>
      <c r="F47" s="208" t="s">
        <v>295</v>
      </c>
      <c r="G47" s="204"/>
      <c r="H47" s="204">
        <v>2021.0</v>
      </c>
      <c r="I47" s="220" t="s">
        <v>24</v>
      </c>
      <c r="J47" s="220" t="s">
        <v>5097</v>
      </c>
      <c r="K47" s="222" t="s">
        <v>5098</v>
      </c>
      <c r="L47" s="220" t="s">
        <v>4954</v>
      </c>
      <c r="M47" s="223"/>
      <c r="N47" s="220" t="s">
        <v>92</v>
      </c>
      <c r="O47" s="221"/>
      <c r="P47" s="17"/>
      <c r="Q47" s="17"/>
      <c r="R47" s="17"/>
      <c r="S47" s="17"/>
      <c r="T47" s="17"/>
      <c r="U47" s="17"/>
      <c r="V47" s="17"/>
      <c r="W47" s="17"/>
      <c r="X47" s="17"/>
      <c r="Y47" s="17"/>
      <c r="Z47" s="17"/>
      <c r="AA47" s="17"/>
      <c r="AB47" s="17"/>
    </row>
    <row r="48">
      <c r="A48" s="208">
        <v>10170.0</v>
      </c>
      <c r="B48" s="8" t="s">
        <v>5099</v>
      </c>
      <c r="C48" s="8" t="str">
        <f>IFERROR(__xludf.DUMMYFUNCTION("googletranslate(B48)"),"Executive Order on Strengthening American Leadership in Clean Cars and Trucks")</f>
        <v>Executive Order on Strengthening American Leadership in Clean Cars and Trucks</v>
      </c>
      <c r="D48" s="208" t="s">
        <v>5083</v>
      </c>
      <c r="E48" s="208" t="s">
        <v>5084</v>
      </c>
      <c r="F48" s="208" t="s">
        <v>4474</v>
      </c>
      <c r="G48" s="208"/>
      <c r="H48" s="208">
        <v>2021.0</v>
      </c>
      <c r="I48" s="208" t="s">
        <v>24</v>
      </c>
      <c r="J48" s="208" t="s">
        <v>5100</v>
      </c>
      <c r="K48" s="224" t="s">
        <v>5101</v>
      </c>
      <c r="L48" s="208" t="s">
        <v>4954</v>
      </c>
      <c r="M48" s="207"/>
      <c r="N48" s="208" t="s">
        <v>326</v>
      </c>
      <c r="O48" s="8" t="s">
        <v>5102</v>
      </c>
      <c r="P48" s="3"/>
      <c r="Q48" s="3"/>
      <c r="R48" s="3"/>
      <c r="S48" s="3"/>
      <c r="T48" s="3"/>
      <c r="U48" s="3"/>
      <c r="V48" s="3"/>
      <c r="W48" s="3"/>
      <c r="X48" s="3"/>
      <c r="Y48" s="3"/>
      <c r="Z48" s="3"/>
      <c r="AA48" s="3"/>
      <c r="AB48" s="3"/>
    </row>
    <row r="49">
      <c r="A49" s="208">
        <v>10170.0</v>
      </c>
      <c r="B49" s="8" t="s">
        <v>5103</v>
      </c>
      <c r="C49" s="8" t="str">
        <f>IFERROR(__xludf.DUMMYFUNCTION("googletranslate(B49)"),"Revised 2023 and Later Model Year Light-Duty Vehicle Greenhouse Gas Emissions Standards")</f>
        <v>Revised 2023 and Later Model Year Light-Duty Vehicle Greenhouse Gas Emissions Standards</v>
      </c>
      <c r="D49" s="208" t="s">
        <v>5083</v>
      </c>
      <c r="E49" s="208" t="s">
        <v>5084</v>
      </c>
      <c r="F49" s="208" t="s">
        <v>372</v>
      </c>
      <c r="G49" s="208"/>
      <c r="H49" s="208">
        <v>2021.0</v>
      </c>
      <c r="I49" s="208" t="s">
        <v>24</v>
      </c>
      <c r="J49" s="208" t="s">
        <v>5104</v>
      </c>
      <c r="K49" s="209" t="s">
        <v>5105</v>
      </c>
      <c r="L49" s="208" t="s">
        <v>4954</v>
      </c>
      <c r="M49" s="207"/>
      <c r="N49" s="208" t="s">
        <v>5106</v>
      </c>
      <c r="O49" s="8" t="s">
        <v>5107</v>
      </c>
      <c r="P49" s="3"/>
      <c r="Q49" s="3"/>
      <c r="R49" s="3"/>
      <c r="S49" s="3"/>
      <c r="T49" s="3"/>
      <c r="U49" s="3"/>
      <c r="V49" s="3"/>
      <c r="W49" s="3"/>
      <c r="X49" s="3"/>
      <c r="Y49" s="3"/>
      <c r="Z49" s="3"/>
      <c r="AA49" s="3"/>
      <c r="AB49" s="3"/>
    </row>
    <row r="50">
      <c r="A50" s="208">
        <v>10383.0</v>
      </c>
      <c r="B50" s="8" t="s">
        <v>5108</v>
      </c>
      <c r="C50" s="8" t="str">
        <f>IFERROR(__xludf.DUMMYFUNCTION("googletranslate(B50)"),"Executive Order on Catalyzing Clean Energy Industries and Jobs Through Federal Sustainability")</f>
        <v>Executive Order on Catalyzing Clean Energy Industries and Jobs Through Federal Sustainability</v>
      </c>
      <c r="D50" s="208" t="s">
        <v>5083</v>
      </c>
      <c r="E50" s="208" t="s">
        <v>5084</v>
      </c>
      <c r="F50" s="208" t="s">
        <v>4474</v>
      </c>
      <c r="G50" s="208"/>
      <c r="H50" s="208">
        <v>2021.0</v>
      </c>
      <c r="I50" s="208" t="s">
        <v>24</v>
      </c>
      <c r="J50" s="208" t="s">
        <v>5109</v>
      </c>
      <c r="K50" s="209" t="s">
        <v>5110</v>
      </c>
      <c r="L50" s="208" t="s">
        <v>4954</v>
      </c>
      <c r="M50" s="207"/>
      <c r="N50" s="208" t="s">
        <v>326</v>
      </c>
      <c r="O50" s="8" t="s">
        <v>5102</v>
      </c>
      <c r="P50" s="3"/>
      <c r="Q50" s="3"/>
      <c r="R50" s="3"/>
      <c r="S50" s="3"/>
      <c r="T50" s="3"/>
      <c r="U50" s="3"/>
      <c r="V50" s="3"/>
      <c r="W50" s="3"/>
      <c r="X50" s="3"/>
      <c r="Y50" s="3"/>
      <c r="Z50" s="3"/>
      <c r="AA50" s="3"/>
      <c r="AB50" s="3"/>
    </row>
    <row r="51">
      <c r="A51" s="204">
        <v>10383.0</v>
      </c>
      <c r="B51" s="2" t="s">
        <v>5111</v>
      </c>
      <c r="C51" s="2" t="str">
        <f>IFERROR(__xludf.DUMMYFUNCTION("googletranslate(B51)"),"Federal Sustainability Plan: Catalyzing America's Clean Energy Industries and Jobs")</f>
        <v>Federal Sustainability Plan: Catalyzing America's Clean Energy Industries and Jobs</v>
      </c>
      <c r="D51" s="204" t="s">
        <v>5083</v>
      </c>
      <c r="E51" s="204" t="s">
        <v>5084</v>
      </c>
      <c r="F51" s="204" t="s">
        <v>234</v>
      </c>
      <c r="G51" s="204"/>
      <c r="H51" s="204">
        <v>2021.0</v>
      </c>
      <c r="I51" s="204" t="s">
        <v>24</v>
      </c>
      <c r="J51" s="204" t="s">
        <v>5112</v>
      </c>
      <c r="K51" s="205" t="s">
        <v>5113</v>
      </c>
      <c r="L51" s="204" t="s">
        <v>4954</v>
      </c>
      <c r="M51" s="138"/>
      <c r="N51" s="204" t="s">
        <v>23</v>
      </c>
      <c r="O51" s="25"/>
    </row>
    <row r="52">
      <c r="A52" s="208">
        <v>10383.0</v>
      </c>
      <c r="B52" s="8" t="s">
        <v>5114</v>
      </c>
      <c r="C52" s="8" t="str">
        <f>IFERROR(__xludf.DUMMYFUNCTION("googletranslate(B52)"),"Federal Sustainability Plan")</f>
        <v>Federal Sustainability Plan</v>
      </c>
      <c r="D52" s="208" t="s">
        <v>5083</v>
      </c>
      <c r="E52" s="208" t="s">
        <v>5084</v>
      </c>
      <c r="F52" s="208" t="s">
        <v>234</v>
      </c>
      <c r="G52" s="207"/>
      <c r="H52" s="207"/>
      <c r="I52" s="208" t="s">
        <v>24</v>
      </c>
      <c r="J52" s="208" t="s">
        <v>5115</v>
      </c>
      <c r="K52" s="209" t="s">
        <v>5116</v>
      </c>
      <c r="L52" s="208" t="s">
        <v>4954</v>
      </c>
      <c r="M52" s="207"/>
      <c r="N52" s="208" t="s">
        <v>326</v>
      </c>
      <c r="O52" s="8" t="s">
        <v>5117</v>
      </c>
      <c r="P52" s="3"/>
      <c r="Q52" s="3"/>
      <c r="R52" s="3"/>
      <c r="S52" s="3"/>
      <c r="T52" s="3"/>
      <c r="U52" s="3"/>
      <c r="V52" s="3"/>
      <c r="W52" s="3"/>
      <c r="X52" s="3"/>
      <c r="Y52" s="3"/>
      <c r="Z52" s="3"/>
      <c r="AA52" s="3"/>
      <c r="AB52" s="3"/>
    </row>
    <row r="53">
      <c r="A53" s="204">
        <v>1783.0</v>
      </c>
      <c r="B53" s="2" t="s">
        <v>5118</v>
      </c>
      <c r="C53" s="2" t="str">
        <f>IFERROR(__xludf.DUMMYFUNCTION("googletranslate(B53)"),"Environmental Management and Conservation Act No.12 of 2002 (Consolidated Edition 2004)")</f>
        <v>Environmental Management and Conservation Act No.12 of 2002 (Consolidated Edition 2004)</v>
      </c>
      <c r="D53" s="204" t="s">
        <v>5119</v>
      </c>
      <c r="E53" s="204" t="s">
        <v>5120</v>
      </c>
      <c r="F53" s="204" t="s">
        <v>45</v>
      </c>
      <c r="G53" s="204"/>
      <c r="H53" s="204">
        <v>2004.0</v>
      </c>
      <c r="I53" s="204" t="s">
        <v>24</v>
      </c>
      <c r="J53" s="204" t="s">
        <v>5121</v>
      </c>
      <c r="K53" s="205" t="s">
        <v>5122</v>
      </c>
      <c r="L53" s="204" t="s">
        <v>4954</v>
      </c>
      <c r="M53" s="138"/>
      <c r="N53" s="204" t="s">
        <v>23</v>
      </c>
      <c r="O53" s="25"/>
    </row>
    <row r="54">
      <c r="A54" s="204">
        <v>1783.0</v>
      </c>
      <c r="B54" s="2" t="s">
        <v>5123</v>
      </c>
      <c r="C54" s="2" t="str">
        <f>IFERROR(__xludf.DUMMYFUNCTION("googletranslate(B54)"),"Environmental Management and Conservation (Amendment) Act No. 28 of 2010")</f>
        <v>Environmental Management and Conservation (Amendment) Act No. 28 of 2010</v>
      </c>
      <c r="D54" s="204" t="s">
        <v>5119</v>
      </c>
      <c r="E54" s="204" t="s">
        <v>5120</v>
      </c>
      <c r="F54" s="204" t="s">
        <v>45</v>
      </c>
      <c r="G54" s="204"/>
      <c r="H54" s="204">
        <v>2010.0</v>
      </c>
      <c r="I54" s="204" t="s">
        <v>24</v>
      </c>
      <c r="J54" s="204" t="s">
        <v>5124</v>
      </c>
      <c r="K54" s="205" t="s">
        <v>5125</v>
      </c>
      <c r="L54" s="204" t="s">
        <v>4954</v>
      </c>
      <c r="M54" s="138"/>
      <c r="N54" s="204" t="s">
        <v>23</v>
      </c>
      <c r="O54" s="25"/>
    </row>
    <row r="55">
      <c r="A55" s="208">
        <v>10421.0</v>
      </c>
      <c r="B55" s="8" t="s">
        <v>5126</v>
      </c>
      <c r="C55" s="8" t="str">
        <f>IFERROR(__xludf.DUMMYFUNCTION("googletranslate(B55)"),"Official Gazette of the Bolivarian Republic of Venezuela number 42,217")</f>
        <v>Official Gazette of the Bolivarian Republic of Venezuela number 42,217</v>
      </c>
      <c r="D55" s="208" t="s">
        <v>5127</v>
      </c>
      <c r="E55" s="208" t="s">
        <v>5128</v>
      </c>
      <c r="F55" s="208" t="s">
        <v>18</v>
      </c>
      <c r="G55" s="208"/>
      <c r="H55" s="208">
        <v>2021.0</v>
      </c>
      <c r="I55" s="208" t="s">
        <v>924</v>
      </c>
      <c r="J55" s="208" t="s">
        <v>5129</v>
      </c>
      <c r="K55" s="209" t="s">
        <v>5130</v>
      </c>
      <c r="L55" s="208" t="s">
        <v>4954</v>
      </c>
      <c r="M55" s="207"/>
      <c r="N55" s="208" t="s">
        <v>23</v>
      </c>
      <c r="O55" s="8" t="s">
        <v>5131</v>
      </c>
      <c r="P55" s="3"/>
      <c r="Q55" s="3"/>
      <c r="R55" s="3"/>
      <c r="S55" s="3"/>
      <c r="T55" s="3"/>
      <c r="U55" s="3"/>
      <c r="V55" s="3"/>
      <c r="W55" s="3"/>
      <c r="X55" s="3"/>
      <c r="Y55" s="3"/>
      <c r="Z55" s="3"/>
      <c r="AA55" s="3"/>
      <c r="AB55" s="3"/>
    </row>
    <row r="56">
      <c r="A56" s="208">
        <v>10421.0</v>
      </c>
      <c r="B56" s="8" t="s">
        <v>5132</v>
      </c>
      <c r="C56" s="8" t="str">
        <f>IFERROR(__xludf.DUMMYFUNCTION("googletranslate(B56)"),"Official Gazette of the Bolivarian Republic of Venezuela number 42,246")</f>
        <v>Official Gazette of the Bolivarian Republic of Venezuela number 42,246</v>
      </c>
      <c r="D56" s="208" t="s">
        <v>5127</v>
      </c>
      <c r="E56" s="208" t="s">
        <v>5128</v>
      </c>
      <c r="F56" s="208" t="s">
        <v>18</v>
      </c>
      <c r="G56" s="208"/>
      <c r="H56" s="208">
        <v>2021.0</v>
      </c>
      <c r="I56" s="208" t="s">
        <v>924</v>
      </c>
      <c r="J56" s="208" t="s">
        <v>5133</v>
      </c>
      <c r="K56" s="209" t="s">
        <v>5134</v>
      </c>
      <c r="L56" s="208" t="s">
        <v>4954</v>
      </c>
      <c r="M56" s="207"/>
      <c r="N56" s="208" t="s">
        <v>23</v>
      </c>
      <c r="O56" s="8" t="s">
        <v>5135</v>
      </c>
      <c r="P56" s="3"/>
      <c r="Q56" s="3"/>
      <c r="R56" s="3"/>
      <c r="S56" s="3"/>
      <c r="T56" s="3"/>
      <c r="U56" s="3"/>
      <c r="V56" s="3"/>
      <c r="W56" s="3"/>
      <c r="X56" s="3"/>
      <c r="Y56" s="3"/>
      <c r="Z56" s="3"/>
      <c r="AA56" s="3"/>
      <c r="AB56" s="3"/>
    </row>
    <row r="57">
      <c r="A57" s="204">
        <v>1791.0</v>
      </c>
      <c r="B57" s="2" t="s">
        <v>5136</v>
      </c>
      <c r="C57" s="2" t="str">
        <f>IFERROR(__xludf.DUMMYFUNCTION("googletranslate(B57)"),"Law on Natural Disaster Prevention and Control")</f>
        <v>Law on Natural Disaster Prevention and Control</v>
      </c>
      <c r="D57" s="204" t="s">
        <v>5137</v>
      </c>
      <c r="E57" s="204" t="s">
        <v>5138</v>
      </c>
      <c r="F57" s="204" t="s">
        <v>41</v>
      </c>
      <c r="G57" s="204"/>
      <c r="H57" s="204">
        <v>2013.0</v>
      </c>
      <c r="I57" s="204" t="s">
        <v>24</v>
      </c>
      <c r="J57" s="204" t="s">
        <v>5139</v>
      </c>
      <c r="K57" s="205" t="s">
        <v>5140</v>
      </c>
      <c r="L57" s="204" t="s">
        <v>4954</v>
      </c>
      <c r="M57" s="138"/>
      <c r="N57" s="204" t="s">
        <v>23</v>
      </c>
      <c r="O57" s="25"/>
    </row>
    <row r="58">
      <c r="A58" s="204">
        <v>1791.0</v>
      </c>
      <c r="B58" s="2" t="s">
        <v>5141</v>
      </c>
      <c r="C58" s="2" t="s">
        <v>5142</v>
      </c>
      <c r="D58" s="204" t="s">
        <v>5137</v>
      </c>
      <c r="E58" s="204" t="s">
        <v>5138</v>
      </c>
      <c r="F58" s="204" t="s">
        <v>18</v>
      </c>
      <c r="G58" s="204"/>
      <c r="H58" s="204">
        <v>2021.0</v>
      </c>
      <c r="I58" s="204" t="s">
        <v>5143</v>
      </c>
      <c r="J58" s="204" t="s">
        <v>5144</v>
      </c>
      <c r="K58" s="205" t="s">
        <v>5145</v>
      </c>
      <c r="L58" s="204" t="s">
        <v>4954</v>
      </c>
      <c r="M58" s="138"/>
      <c r="N58" s="204" t="s">
        <v>23</v>
      </c>
      <c r="O58" s="2" t="s">
        <v>5146</v>
      </c>
    </row>
    <row r="59">
      <c r="A59" s="204">
        <v>1792.0</v>
      </c>
      <c r="B59" s="206" t="s">
        <v>5147</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5137</v>
      </c>
      <c r="E59" s="204" t="s">
        <v>5138</v>
      </c>
      <c r="F59" s="204" t="s">
        <v>137</v>
      </c>
      <c r="G59" s="204"/>
      <c r="H59" s="204">
        <v>2013.0</v>
      </c>
      <c r="I59" s="204" t="s">
        <v>5143</v>
      </c>
      <c r="J59" s="204" t="s">
        <v>5148</v>
      </c>
      <c r="K59" s="205" t="s">
        <v>5149</v>
      </c>
      <c r="L59" s="204" t="s">
        <v>4954</v>
      </c>
      <c r="M59" s="138"/>
      <c r="N59" s="204" t="s">
        <v>23</v>
      </c>
      <c r="O59" s="25"/>
    </row>
    <row r="60">
      <c r="A60" s="204">
        <v>1792.0</v>
      </c>
      <c r="B60" s="2" t="s">
        <v>5150</v>
      </c>
      <c r="C60" s="2"/>
      <c r="D60" s="204" t="s">
        <v>5137</v>
      </c>
      <c r="E60" s="204" t="s">
        <v>5138</v>
      </c>
      <c r="F60" s="204" t="s">
        <v>137</v>
      </c>
      <c r="G60" s="204"/>
      <c r="H60" s="204">
        <v>2013.0</v>
      </c>
      <c r="I60" s="204" t="s">
        <v>24</v>
      </c>
      <c r="J60" s="204" t="s">
        <v>5151</v>
      </c>
      <c r="K60" s="212" t="s">
        <v>5152</v>
      </c>
      <c r="L60" s="204" t="s">
        <v>4954</v>
      </c>
      <c r="M60" s="138"/>
      <c r="N60" s="204" t="s">
        <v>23</v>
      </c>
      <c r="O60" s="25"/>
    </row>
    <row r="61">
      <c r="A61" s="204">
        <v>1793.0</v>
      </c>
      <c r="B61" s="1" t="s">
        <v>5153</v>
      </c>
      <c r="C61" s="2" t="str">
        <f>IFERROR(__xludf.DUMMYFUNCTION("GOOGLETRANSLATE(B61)"),"The decision to approve the national green growth strategy")</f>
        <v>The decision to approve the national green growth strategy</v>
      </c>
      <c r="D61" s="204" t="s">
        <v>5137</v>
      </c>
      <c r="E61" s="204" t="s">
        <v>5138</v>
      </c>
      <c r="F61" s="204" t="s">
        <v>272</v>
      </c>
      <c r="G61" s="204"/>
      <c r="H61" s="204">
        <v>2012.0</v>
      </c>
      <c r="I61" s="204" t="s">
        <v>5143</v>
      </c>
      <c r="J61" s="204" t="s">
        <v>5154</v>
      </c>
      <c r="K61" s="205" t="s">
        <v>5155</v>
      </c>
      <c r="L61" s="204" t="s">
        <v>4954</v>
      </c>
      <c r="M61" s="138"/>
      <c r="N61" s="204" t="s">
        <v>23</v>
      </c>
      <c r="O61" s="25"/>
    </row>
    <row r="62">
      <c r="A62" s="204">
        <v>1793.0</v>
      </c>
      <c r="B62" s="2" t="s">
        <v>5156</v>
      </c>
      <c r="C62" s="2"/>
      <c r="D62" s="204" t="s">
        <v>5137</v>
      </c>
      <c r="E62" s="204" t="s">
        <v>5138</v>
      </c>
      <c r="F62" s="204" t="s">
        <v>272</v>
      </c>
      <c r="G62" s="204"/>
      <c r="H62" s="204">
        <v>2012.0</v>
      </c>
      <c r="I62" s="204" t="s">
        <v>24</v>
      </c>
      <c r="J62" s="204" t="s">
        <v>5157</v>
      </c>
      <c r="K62" s="205" t="s">
        <v>5158</v>
      </c>
      <c r="L62" s="204" t="s">
        <v>4954</v>
      </c>
      <c r="M62" s="138"/>
      <c r="N62" s="204" t="s">
        <v>23</v>
      </c>
      <c r="O62" s="25"/>
    </row>
    <row r="63">
      <c r="A63" s="204">
        <v>1793.0</v>
      </c>
      <c r="B63" s="2" t="s">
        <v>5159</v>
      </c>
      <c r="C63" s="2"/>
      <c r="D63" s="204" t="s">
        <v>5137</v>
      </c>
      <c r="E63" s="204" t="s">
        <v>5138</v>
      </c>
      <c r="F63" s="204" t="s">
        <v>272</v>
      </c>
      <c r="G63" s="204"/>
      <c r="H63" s="204">
        <v>2014.0</v>
      </c>
      <c r="I63" s="204" t="s">
        <v>24</v>
      </c>
      <c r="J63" s="204" t="s">
        <v>5160</v>
      </c>
      <c r="K63" s="205" t="s">
        <v>5161</v>
      </c>
      <c r="L63" s="204" t="s">
        <v>4954</v>
      </c>
      <c r="M63" s="138"/>
      <c r="N63" s="204" t="s">
        <v>23</v>
      </c>
      <c r="O63" s="25"/>
    </row>
    <row r="64">
      <c r="A64" s="204">
        <v>1793.0</v>
      </c>
      <c r="B64" s="2" t="s">
        <v>5162</v>
      </c>
      <c r="C64" s="2"/>
      <c r="D64" s="204" t="s">
        <v>5137</v>
      </c>
      <c r="E64" s="204" t="s">
        <v>5138</v>
      </c>
      <c r="F64" s="204" t="s">
        <v>272</v>
      </c>
      <c r="G64" s="204"/>
      <c r="H64" s="204">
        <v>2015.0</v>
      </c>
      <c r="I64" s="204" t="s">
        <v>24</v>
      </c>
      <c r="J64" s="204" t="s">
        <v>5163</v>
      </c>
      <c r="K64" s="205" t="s">
        <v>5164</v>
      </c>
      <c r="L64" s="204" t="s">
        <v>4954</v>
      </c>
      <c r="M64" s="138"/>
      <c r="N64" s="204" t="s">
        <v>48</v>
      </c>
      <c r="O64" s="2" t="s">
        <v>5165</v>
      </c>
    </row>
    <row r="65">
      <c r="A65" s="204">
        <v>1793.0</v>
      </c>
      <c r="B65" s="2" t="s">
        <v>5166</v>
      </c>
      <c r="C65" s="2"/>
      <c r="D65" s="204" t="s">
        <v>5137</v>
      </c>
      <c r="E65" s="204" t="s">
        <v>5138</v>
      </c>
      <c r="F65" s="204" t="s">
        <v>272</v>
      </c>
      <c r="G65" s="204"/>
      <c r="H65" s="204">
        <v>2017.0</v>
      </c>
      <c r="I65" s="204" t="s">
        <v>24</v>
      </c>
      <c r="J65" s="204" t="s">
        <v>5167</v>
      </c>
      <c r="K65" s="205" t="s">
        <v>5168</v>
      </c>
      <c r="L65" s="204" t="s">
        <v>4954</v>
      </c>
      <c r="M65" s="138"/>
      <c r="N65" s="204" t="s">
        <v>23</v>
      </c>
      <c r="O65" s="25"/>
    </row>
    <row r="66">
      <c r="A66" s="204">
        <v>1794.0</v>
      </c>
      <c r="B66" s="2" t="s">
        <v>5169</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5137</v>
      </c>
      <c r="E66" s="204" t="s">
        <v>5138</v>
      </c>
      <c r="F66" s="204" t="s">
        <v>272</v>
      </c>
      <c r="G66" s="204"/>
      <c r="H66" s="204">
        <v>2012.0</v>
      </c>
      <c r="I66" s="204" t="s">
        <v>5143</v>
      </c>
      <c r="J66" s="204" t="s">
        <v>5170</v>
      </c>
      <c r="K66" s="205" t="s">
        <v>5171</v>
      </c>
      <c r="L66" s="204" t="s">
        <v>4954</v>
      </c>
      <c r="M66" s="138"/>
      <c r="N66" s="204" t="s">
        <v>23</v>
      </c>
      <c r="O66" s="2" t="s">
        <v>5172</v>
      </c>
    </row>
    <row r="67">
      <c r="A67" s="204">
        <v>1794.0</v>
      </c>
      <c r="B67" s="2" t="s">
        <v>5173</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5137</v>
      </c>
      <c r="E67" s="204" t="s">
        <v>5138</v>
      </c>
      <c r="F67" s="204" t="s">
        <v>272</v>
      </c>
      <c r="G67" s="204"/>
      <c r="H67" s="204">
        <v>2012.0</v>
      </c>
      <c r="I67" s="204" t="s">
        <v>24</v>
      </c>
      <c r="J67" s="204" t="s">
        <v>5174</v>
      </c>
      <c r="K67" s="205" t="s">
        <v>5175</v>
      </c>
      <c r="L67" s="204" t="s">
        <v>4954</v>
      </c>
      <c r="M67" s="138"/>
      <c r="N67" s="204" t="s">
        <v>23</v>
      </c>
      <c r="O67" s="25"/>
    </row>
    <row r="68">
      <c r="A68" s="204">
        <v>1794.0</v>
      </c>
      <c r="B68" s="2" t="s">
        <v>5176</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5137</v>
      </c>
      <c r="E68" s="204" t="s">
        <v>5138</v>
      </c>
      <c r="F68" s="204" t="s">
        <v>272</v>
      </c>
      <c r="G68" s="204"/>
      <c r="H68" s="204">
        <v>2017.0</v>
      </c>
      <c r="I68" s="204" t="s">
        <v>24</v>
      </c>
      <c r="J68" s="204" t="s">
        <v>5177</v>
      </c>
      <c r="K68" s="205" t="s">
        <v>5178</v>
      </c>
      <c r="L68" s="204" t="s">
        <v>4954</v>
      </c>
      <c r="M68" s="138"/>
      <c r="N68" s="204" t="s">
        <v>23</v>
      </c>
      <c r="O68" s="25"/>
    </row>
    <row r="69">
      <c r="A69" s="204">
        <v>1798.0</v>
      </c>
      <c r="B69" s="2" t="s">
        <v>5179</v>
      </c>
      <c r="C69" s="2" t="str">
        <f>IFERROR(__xludf.DUMMYFUNCTION("GOOGLETRANSLATE(B69)"),"Law on Economical and Efficient Use of Energy")</f>
        <v>Law on Economical and Efficient Use of Energy</v>
      </c>
      <c r="D69" s="204" t="s">
        <v>5137</v>
      </c>
      <c r="E69" s="204" t="s">
        <v>5138</v>
      </c>
      <c r="F69" s="204" t="s">
        <v>41</v>
      </c>
      <c r="G69" s="204"/>
      <c r="H69" s="204">
        <v>2010.0</v>
      </c>
      <c r="I69" s="204" t="s">
        <v>24</v>
      </c>
      <c r="J69" s="204" t="s">
        <v>5180</v>
      </c>
      <c r="K69" s="205" t="s">
        <v>5181</v>
      </c>
      <c r="L69" s="204" t="s">
        <v>4954</v>
      </c>
      <c r="M69" s="138"/>
      <c r="N69" s="204" t="s">
        <v>23</v>
      </c>
      <c r="O69" s="25"/>
    </row>
    <row r="70">
      <c r="A70" s="204">
        <v>1798.0</v>
      </c>
      <c r="B70" s="2" t="s">
        <v>5182</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5137</v>
      </c>
      <c r="E70" s="204" t="s">
        <v>5138</v>
      </c>
      <c r="F70" s="204" t="s">
        <v>18</v>
      </c>
      <c r="G70" s="204"/>
      <c r="H70" s="204">
        <v>2011.0</v>
      </c>
      <c r="I70" s="204" t="s">
        <v>24</v>
      </c>
      <c r="J70" s="204" t="s">
        <v>5183</v>
      </c>
      <c r="K70" s="205" t="s">
        <v>5184</v>
      </c>
      <c r="L70" s="204" t="s">
        <v>4954</v>
      </c>
      <c r="M70" s="138"/>
      <c r="N70" s="204" t="s">
        <v>23</v>
      </c>
      <c r="O70" s="25"/>
    </row>
    <row r="71">
      <c r="A71" s="204">
        <v>1799.0</v>
      </c>
      <c r="B71" s="2" t="s">
        <v>5185</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5137</v>
      </c>
      <c r="E71" s="204" t="s">
        <v>5138</v>
      </c>
      <c r="F71" s="204" t="s">
        <v>272</v>
      </c>
      <c r="G71" s="204"/>
      <c r="H71" s="204">
        <v>2008.0</v>
      </c>
      <c r="I71" s="204" t="s">
        <v>5143</v>
      </c>
      <c r="J71" s="204" t="s">
        <v>5186</v>
      </c>
      <c r="K71" s="205" t="s">
        <v>5187</v>
      </c>
      <c r="L71" s="204" t="s">
        <v>4954</v>
      </c>
      <c r="M71" s="138"/>
      <c r="N71" s="204" t="s">
        <v>23</v>
      </c>
      <c r="O71" s="25"/>
    </row>
    <row r="72">
      <c r="A72" s="204">
        <v>1799.0</v>
      </c>
      <c r="B72" s="2" t="s">
        <v>5188</v>
      </c>
      <c r="C72" s="2"/>
      <c r="D72" s="204" t="s">
        <v>5137</v>
      </c>
      <c r="E72" s="204" t="s">
        <v>5138</v>
      </c>
      <c r="F72" s="204" t="s">
        <v>272</v>
      </c>
      <c r="G72" s="204"/>
      <c r="H72" s="204">
        <v>2008.0</v>
      </c>
      <c r="I72" s="204" t="s">
        <v>24</v>
      </c>
      <c r="J72" s="204" t="s">
        <v>5189</v>
      </c>
      <c r="K72" s="205" t="s">
        <v>5190</v>
      </c>
      <c r="L72" s="204" t="s">
        <v>4954</v>
      </c>
      <c r="M72" s="138"/>
      <c r="N72" s="204" t="s">
        <v>23</v>
      </c>
      <c r="O72" s="25"/>
    </row>
    <row r="73">
      <c r="A73" s="204">
        <v>1803.0</v>
      </c>
      <c r="B73" s="2" t="s">
        <v>5191</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5137</v>
      </c>
      <c r="E73" s="204" t="s">
        <v>5138</v>
      </c>
      <c r="F73" s="204" t="s">
        <v>272</v>
      </c>
      <c r="G73" s="204"/>
      <c r="H73" s="204">
        <v>2006.0</v>
      </c>
      <c r="I73" s="204" t="s">
        <v>5143</v>
      </c>
      <c r="J73" s="204" t="s">
        <v>5192</v>
      </c>
      <c r="K73" s="205" t="s">
        <v>5193</v>
      </c>
      <c r="L73" s="204" t="s">
        <v>4954</v>
      </c>
      <c r="M73" s="138"/>
      <c r="N73" s="204" t="s">
        <v>23</v>
      </c>
      <c r="O73" s="25"/>
    </row>
    <row r="74">
      <c r="A74" s="204">
        <v>1803.0</v>
      </c>
      <c r="B74" s="2" t="s">
        <v>5194</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5137</v>
      </c>
      <c r="E74" s="204" t="s">
        <v>5138</v>
      </c>
      <c r="F74" s="204" t="s">
        <v>272</v>
      </c>
      <c r="G74" s="204"/>
      <c r="H74" s="204">
        <v>2006.0</v>
      </c>
      <c r="I74" s="204" t="s">
        <v>24</v>
      </c>
      <c r="J74" s="204" t="s">
        <v>5195</v>
      </c>
      <c r="K74" s="205" t="s">
        <v>5196</v>
      </c>
      <c r="L74" s="204" t="s">
        <v>4954</v>
      </c>
      <c r="M74" s="138"/>
      <c r="N74" s="204" t="s">
        <v>23</v>
      </c>
      <c r="O74" s="25"/>
    </row>
    <row r="75">
      <c r="A75" s="204">
        <v>8277.0</v>
      </c>
      <c r="B75" s="2" t="s">
        <v>5197</v>
      </c>
      <c r="C75" s="1" t="s">
        <v>5198</v>
      </c>
      <c r="D75" s="204" t="s">
        <v>5137</v>
      </c>
      <c r="E75" s="204" t="s">
        <v>5138</v>
      </c>
      <c r="F75" s="204" t="s">
        <v>272</v>
      </c>
      <c r="G75" s="204"/>
      <c r="H75" s="204">
        <v>2017.0</v>
      </c>
      <c r="I75" s="204" t="s">
        <v>5143</v>
      </c>
      <c r="J75" s="204" t="s">
        <v>5199</v>
      </c>
      <c r="K75" s="205" t="s">
        <v>5200</v>
      </c>
      <c r="L75" s="204" t="s">
        <v>4954</v>
      </c>
      <c r="M75" s="138"/>
      <c r="N75" s="204" t="s">
        <v>23</v>
      </c>
      <c r="O75" s="2"/>
    </row>
    <row r="76">
      <c r="A76" s="204">
        <v>8277.0</v>
      </c>
      <c r="B76" s="225" t="s">
        <v>5201</v>
      </c>
      <c r="C76" s="2" t="str">
        <f>IFERROR(__xludf.DUMMYFUNCTION("GOOGLETRANSLATE(B76)"),"Decision on the mechanism to encourage solar power development in Vietnam")</f>
        <v>Decision on the mechanism to encourage solar power development in Vietnam</v>
      </c>
      <c r="D76" s="204" t="s">
        <v>5137</v>
      </c>
      <c r="E76" s="204" t="s">
        <v>5138</v>
      </c>
      <c r="F76" s="204" t="s">
        <v>272</v>
      </c>
      <c r="G76" s="204"/>
      <c r="H76" s="204">
        <v>2020.0</v>
      </c>
      <c r="I76" s="204" t="s">
        <v>5143</v>
      </c>
      <c r="J76" s="204" t="s">
        <v>5202</v>
      </c>
      <c r="K76" s="205" t="s">
        <v>5203</v>
      </c>
      <c r="L76" s="204" t="s">
        <v>4954</v>
      </c>
      <c r="M76" s="138"/>
      <c r="N76" s="204" t="s">
        <v>92</v>
      </c>
      <c r="O76" s="2" t="s">
        <v>823</v>
      </c>
    </row>
    <row r="77">
      <c r="A77" s="204">
        <v>8277.0</v>
      </c>
      <c r="B77" s="225" t="s">
        <v>5204</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5137</v>
      </c>
      <c r="E77" s="204" t="s">
        <v>5138</v>
      </c>
      <c r="F77" s="204" t="s">
        <v>34</v>
      </c>
      <c r="G77" s="204"/>
      <c r="H77" s="204">
        <v>2020.0</v>
      </c>
      <c r="I77" s="204" t="s">
        <v>5143</v>
      </c>
      <c r="J77" s="204" t="s">
        <v>5205</v>
      </c>
      <c r="K77" s="205" t="s">
        <v>5206</v>
      </c>
      <c r="L77" s="204" t="s">
        <v>4954</v>
      </c>
      <c r="M77" s="138"/>
      <c r="N77" s="204" t="s">
        <v>92</v>
      </c>
      <c r="O77" s="2" t="s">
        <v>5207</v>
      </c>
    </row>
    <row r="78">
      <c r="A78" s="204">
        <v>8277.0</v>
      </c>
      <c r="B78" s="225" t="s">
        <v>5208</v>
      </c>
      <c r="C78" s="2"/>
      <c r="D78" s="204" t="s">
        <v>5137</v>
      </c>
      <c r="E78" s="204" t="s">
        <v>5138</v>
      </c>
      <c r="F78" s="204" t="s">
        <v>272</v>
      </c>
      <c r="G78" s="204"/>
      <c r="H78" s="204">
        <v>2017.0</v>
      </c>
      <c r="I78" s="204" t="s">
        <v>24</v>
      </c>
      <c r="J78" s="204" t="s">
        <v>5209</v>
      </c>
      <c r="K78" s="205" t="s">
        <v>5210</v>
      </c>
      <c r="L78" s="204" t="s">
        <v>4954</v>
      </c>
      <c r="M78" s="138"/>
      <c r="N78" s="204" t="s">
        <v>48</v>
      </c>
      <c r="O78" s="2" t="s">
        <v>5165</v>
      </c>
    </row>
    <row r="79">
      <c r="A79" s="204">
        <v>9697.0</v>
      </c>
      <c r="B79" s="226" t="s">
        <v>5211</v>
      </c>
      <c r="C79" s="2"/>
      <c r="D79" s="204" t="s">
        <v>5137</v>
      </c>
      <c r="E79" s="204" t="s">
        <v>5138</v>
      </c>
      <c r="F79" s="204" t="s">
        <v>18</v>
      </c>
      <c r="G79" s="204"/>
      <c r="H79" s="204">
        <v>2016.0</v>
      </c>
      <c r="I79" s="204" t="s">
        <v>24</v>
      </c>
      <c r="J79" s="204" t="s">
        <v>5212</v>
      </c>
      <c r="K79" s="205" t="s">
        <v>5213</v>
      </c>
      <c r="L79" s="204" t="s">
        <v>4954</v>
      </c>
      <c r="M79" s="138"/>
      <c r="N79" s="204" t="s">
        <v>48</v>
      </c>
      <c r="O79" s="2" t="s">
        <v>5165</v>
      </c>
    </row>
    <row r="80">
      <c r="A80" s="204">
        <v>9697.0</v>
      </c>
      <c r="B80" s="2" t="s">
        <v>5214</v>
      </c>
      <c r="C80" s="2"/>
      <c r="D80" s="204" t="s">
        <v>5137</v>
      </c>
      <c r="E80" s="204" t="s">
        <v>5138</v>
      </c>
      <c r="F80" s="204" t="s">
        <v>272</v>
      </c>
      <c r="G80" s="204"/>
      <c r="H80" s="204">
        <v>2015.0</v>
      </c>
      <c r="I80" s="204" t="s">
        <v>24</v>
      </c>
      <c r="J80" s="204" t="s">
        <v>5215</v>
      </c>
      <c r="K80" s="205" t="s">
        <v>5216</v>
      </c>
      <c r="L80" s="204" t="s">
        <v>4954</v>
      </c>
      <c r="M80" s="138"/>
      <c r="N80" s="204" t="s">
        <v>48</v>
      </c>
      <c r="O80" s="25"/>
    </row>
    <row r="81">
      <c r="A81" s="208">
        <v>10072.0</v>
      </c>
      <c r="B81" s="8" t="s">
        <v>5217</v>
      </c>
      <c r="C81" s="8"/>
      <c r="D81" s="208" t="s">
        <v>5137</v>
      </c>
      <c r="E81" s="208" t="s">
        <v>5138</v>
      </c>
      <c r="F81" s="208" t="s">
        <v>5218</v>
      </c>
      <c r="G81" s="208"/>
      <c r="H81" s="208">
        <v>2017.0</v>
      </c>
      <c r="I81" s="208" t="s">
        <v>24</v>
      </c>
      <c r="J81" s="208" t="s">
        <v>5219</v>
      </c>
      <c r="K81" s="224" t="s">
        <v>5220</v>
      </c>
      <c r="L81" s="208" t="s">
        <v>4954</v>
      </c>
      <c r="M81" s="207"/>
      <c r="N81" s="208" t="s">
        <v>37</v>
      </c>
      <c r="O81" s="8" t="s">
        <v>5221</v>
      </c>
      <c r="P81" s="3"/>
      <c r="Q81" s="3"/>
      <c r="R81" s="3"/>
      <c r="S81" s="3"/>
      <c r="T81" s="3"/>
      <c r="U81" s="3"/>
      <c r="V81" s="3"/>
      <c r="W81" s="3"/>
      <c r="X81" s="3"/>
      <c r="Y81" s="3"/>
      <c r="Z81" s="3"/>
      <c r="AA81" s="3"/>
      <c r="AB81" s="3"/>
    </row>
    <row r="82">
      <c r="A82" s="208">
        <v>10072.0</v>
      </c>
      <c r="B82" s="8" t="s">
        <v>5222</v>
      </c>
      <c r="C82" s="8" t="str">
        <f>IFERROR(__xludf.DUMMYFUNCTION("GOOGLETRANSLATE(B82)"),"National action plan to implement the 2030 agenda for sustainable development")</f>
        <v>National action plan to implement the 2030 agenda for sustainable development</v>
      </c>
      <c r="D82" s="208" t="s">
        <v>5137</v>
      </c>
      <c r="E82" s="208" t="s">
        <v>5138</v>
      </c>
      <c r="F82" s="208" t="s">
        <v>5218</v>
      </c>
      <c r="G82" s="208"/>
      <c r="H82" s="208">
        <v>2017.0</v>
      </c>
      <c r="I82" s="208" t="s">
        <v>5143</v>
      </c>
      <c r="J82" s="208" t="s">
        <v>5223</v>
      </c>
      <c r="K82" s="209" t="s">
        <v>5224</v>
      </c>
      <c r="L82" s="208" t="s">
        <v>4954</v>
      </c>
      <c r="M82" s="207"/>
      <c r="N82" s="208" t="s">
        <v>37</v>
      </c>
      <c r="O82" s="8" t="s">
        <v>5221</v>
      </c>
      <c r="P82" s="3"/>
      <c r="Q82" s="3"/>
      <c r="R82" s="3"/>
      <c r="S82" s="3"/>
      <c r="T82" s="3"/>
      <c r="U82" s="3"/>
      <c r="V82" s="3"/>
      <c r="W82" s="3"/>
      <c r="X82" s="3"/>
      <c r="Y82" s="3"/>
      <c r="Z82" s="3"/>
      <c r="AA82" s="3"/>
      <c r="AB82" s="3"/>
    </row>
    <row r="83">
      <c r="A83" s="204">
        <v>4845.0</v>
      </c>
      <c r="B83" s="2" t="s">
        <v>5225</v>
      </c>
      <c r="C83" s="8" t="str">
        <f>IFERROR(__xludf.DUMMYFUNCTION("GOOGLETRANSLATE(B83)"),"The National Agriculture Policy 2012-2030")</f>
        <v>The National Agriculture Policy 2012-2030</v>
      </c>
      <c r="D83" s="204" t="s">
        <v>5226</v>
      </c>
      <c r="E83" s="204" t="s">
        <v>5227</v>
      </c>
      <c r="F83" s="204" t="s">
        <v>407</v>
      </c>
      <c r="G83" s="204"/>
      <c r="H83" s="204">
        <v>2011.0</v>
      </c>
      <c r="I83" s="204" t="s">
        <v>24</v>
      </c>
      <c r="J83" s="204" t="s">
        <v>5228</v>
      </c>
      <c r="K83" s="205" t="s">
        <v>5229</v>
      </c>
      <c r="L83" s="204" t="s">
        <v>4954</v>
      </c>
      <c r="M83" s="138"/>
      <c r="N83" s="204" t="s">
        <v>23</v>
      </c>
      <c r="O83" s="25"/>
    </row>
    <row r="84">
      <c r="A84" s="204">
        <v>4845.0</v>
      </c>
      <c r="B84" s="2" t="s">
        <v>5230</v>
      </c>
      <c r="C84" s="8" t="str">
        <f>IFERROR(__xludf.DUMMYFUNCTION("GOOGLETRANSLATE(B84)"),"Second National Agricultural Policy")</f>
        <v>Second National Agricultural Policy</v>
      </c>
      <c r="D84" s="204" t="s">
        <v>5226</v>
      </c>
      <c r="E84" s="204" t="s">
        <v>5227</v>
      </c>
      <c r="F84" s="204" t="s">
        <v>407</v>
      </c>
      <c r="G84" s="204"/>
      <c r="H84" s="204">
        <v>2016.0</v>
      </c>
      <c r="I84" s="204" t="s">
        <v>24</v>
      </c>
      <c r="J84" s="204" t="s">
        <v>5231</v>
      </c>
      <c r="K84" s="205" t="s">
        <v>5232</v>
      </c>
      <c r="L84" s="204" t="s">
        <v>4954</v>
      </c>
      <c r="M84" s="138"/>
      <c r="N84" s="204" t="s">
        <v>4342</v>
      </c>
      <c r="O84" s="25"/>
    </row>
    <row r="85">
      <c r="A85" s="208">
        <v>8530.0</v>
      </c>
      <c r="B85" s="8" t="s">
        <v>5233</v>
      </c>
      <c r="C85" s="8" t="str">
        <f>IFERROR(__xludf.DUMMYFUNCTION("GOOGLETRANSLATE(B85)"),"National Strategy for Environment")</f>
        <v>National Strategy for Environment</v>
      </c>
      <c r="D85" s="208" t="s">
        <v>3897</v>
      </c>
      <c r="E85" s="208" t="s">
        <v>3898</v>
      </c>
      <c r="F85" s="208" t="s">
        <v>144</v>
      </c>
      <c r="G85" s="207"/>
      <c r="H85" s="207"/>
      <c r="I85" s="208" t="s">
        <v>24</v>
      </c>
      <c r="J85" s="224" t="s">
        <v>5234</v>
      </c>
      <c r="K85" s="224" t="s">
        <v>5235</v>
      </c>
      <c r="L85" s="208" t="s">
        <v>4954</v>
      </c>
      <c r="M85" s="207"/>
      <c r="N85" s="208" t="s">
        <v>92</v>
      </c>
      <c r="O85" s="8" t="s">
        <v>5236</v>
      </c>
      <c r="P85" s="3"/>
      <c r="Q85" s="3"/>
      <c r="R85" s="3"/>
      <c r="S85" s="3"/>
      <c r="T85" s="3"/>
      <c r="U85" s="3"/>
      <c r="V85" s="3"/>
      <c r="W85" s="3"/>
      <c r="X85" s="3"/>
      <c r="Y85" s="3"/>
      <c r="Z85" s="3"/>
      <c r="AA85" s="3"/>
      <c r="AB85" s="3"/>
    </row>
    <row r="86">
      <c r="A86" s="227">
        <v>8530.0</v>
      </c>
      <c r="B86" s="228" t="s">
        <v>5237</v>
      </c>
      <c r="C86" s="8" t="str">
        <f>IFERROR(__xludf.DUMMYFUNCTION("GOOGLETRANSLATE(B86)"),"The National Environment Strategy")</f>
        <v>The National Environment Strategy</v>
      </c>
      <c r="D86" s="227" t="s">
        <v>3897</v>
      </c>
      <c r="E86" s="227" t="s">
        <v>3898</v>
      </c>
      <c r="F86" s="227" t="s">
        <v>144</v>
      </c>
      <c r="G86" s="227"/>
      <c r="H86" s="227">
        <v>2006.0</v>
      </c>
      <c r="I86" s="227" t="s">
        <v>24</v>
      </c>
      <c r="J86" s="229" t="s">
        <v>5234</v>
      </c>
      <c r="K86" s="230" t="s">
        <v>5238</v>
      </c>
      <c r="L86" s="227" t="s">
        <v>4954</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5239</v>
      </c>
      <c r="K87" s="224" t="s">
        <v>5240</v>
      </c>
      <c r="L87" s="208" t="s">
        <v>4954</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5239</v>
      </c>
      <c r="K88" s="234" t="s">
        <v>5241</v>
      </c>
      <c r="L88" s="208" t="s">
        <v>4954</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5242</v>
      </c>
      <c r="K89" s="224" t="s">
        <v>5243</v>
      </c>
      <c r="L89" s="208" t="s">
        <v>4954</v>
      </c>
      <c r="M89" s="207"/>
      <c r="N89" s="208" t="s">
        <v>37</v>
      </c>
      <c r="O89" s="8" t="s">
        <v>5244</v>
      </c>
      <c r="P89" s="3"/>
      <c r="Q89" s="3"/>
      <c r="R89" s="3"/>
      <c r="S89" s="3"/>
      <c r="T89" s="3"/>
      <c r="U89" s="3"/>
      <c r="V89" s="3"/>
      <c r="W89" s="3"/>
      <c r="X89" s="3"/>
      <c r="Y89" s="3"/>
      <c r="Z89" s="3"/>
      <c r="AA89" s="3"/>
      <c r="AB89" s="3"/>
    </row>
    <row r="90">
      <c r="A90" s="208">
        <v>8598.0</v>
      </c>
      <c r="B90" s="235" t="s">
        <v>5245</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5246</v>
      </c>
      <c r="L90" s="208" t="s">
        <v>4954</v>
      </c>
      <c r="M90" s="207"/>
      <c r="N90" s="208"/>
      <c r="O90" s="8" t="s">
        <v>5247</v>
      </c>
      <c r="P90" s="3"/>
      <c r="Q90" s="3"/>
      <c r="R90" s="3"/>
      <c r="S90" s="3"/>
      <c r="T90" s="3"/>
      <c r="U90" s="3"/>
      <c r="V90" s="3"/>
      <c r="W90" s="3"/>
      <c r="X90" s="3"/>
      <c r="Y90" s="3"/>
      <c r="Z90" s="3"/>
      <c r="AA90" s="3"/>
      <c r="AB90" s="3"/>
    </row>
    <row r="91">
      <c r="A91" s="208">
        <v>8548.0</v>
      </c>
      <c r="B91" s="8" t="s">
        <v>5248</v>
      </c>
      <c r="C91" s="8" t="str">
        <f>IFERROR(__xludf.DUMMYFUNCTION("GOOGLETRANSLATE(B91)"),"PNM 2035 - National Mobility Plan")</f>
        <v>PNM 2035 - National Mobility Plan</v>
      </c>
      <c r="D91" s="208" t="s">
        <v>2073</v>
      </c>
      <c r="E91" s="208" t="s">
        <v>2074</v>
      </c>
      <c r="F91" s="208" t="s">
        <v>234</v>
      </c>
      <c r="G91" s="207"/>
      <c r="H91" s="207"/>
      <c r="I91" s="208" t="s">
        <v>811</v>
      </c>
      <c r="J91" s="208" t="s">
        <v>5249</v>
      </c>
      <c r="K91" s="224" t="s">
        <v>5250</v>
      </c>
      <c r="L91" s="208" t="s">
        <v>4954</v>
      </c>
      <c r="M91" s="207"/>
      <c r="N91" s="208" t="s">
        <v>92</v>
      </c>
      <c r="O91" s="8" t="s">
        <v>5251</v>
      </c>
      <c r="P91" s="3"/>
      <c r="Q91" s="3"/>
      <c r="R91" s="3"/>
      <c r="S91" s="3"/>
      <c r="T91" s="3"/>
      <c r="U91" s="3"/>
      <c r="V91" s="3"/>
      <c r="W91" s="3"/>
      <c r="X91" s="3"/>
      <c r="Y91" s="3"/>
      <c r="Z91" s="3"/>
      <c r="AA91" s="3"/>
      <c r="AB91" s="3"/>
    </row>
    <row r="92">
      <c r="A92" s="208">
        <v>8548.0</v>
      </c>
      <c r="B92" s="8" t="s">
        <v>5248</v>
      </c>
      <c r="C92" s="8" t="str">
        <f>IFERROR(__xludf.DUMMYFUNCTION("GOOGLETRANSLATE(B92)"),"PNM 2035 - National Mobility Plan")</f>
        <v>PNM 2035 - National Mobility Plan</v>
      </c>
      <c r="D92" s="208" t="s">
        <v>2073</v>
      </c>
      <c r="E92" s="208" t="s">
        <v>2074</v>
      </c>
      <c r="F92" s="208" t="s">
        <v>234</v>
      </c>
      <c r="G92" s="207"/>
      <c r="H92" s="207"/>
      <c r="I92" s="208" t="s">
        <v>811</v>
      </c>
      <c r="J92" s="237" t="s">
        <v>5249</v>
      </c>
      <c r="K92" s="238" t="s">
        <v>5252</v>
      </c>
      <c r="L92" s="208" t="s">
        <v>4954</v>
      </c>
      <c r="M92" s="207"/>
      <c r="N92" s="208"/>
      <c r="O92" s="8" t="s">
        <v>5251</v>
      </c>
      <c r="P92" s="3"/>
      <c r="Q92" s="3"/>
      <c r="R92" s="3"/>
      <c r="S92" s="3"/>
      <c r="T92" s="3"/>
      <c r="U92" s="3"/>
      <c r="V92" s="3"/>
      <c r="W92" s="3"/>
      <c r="X92" s="3"/>
      <c r="Y92" s="3"/>
      <c r="Z92" s="3"/>
      <c r="AA92" s="3"/>
      <c r="AB92" s="3"/>
    </row>
    <row r="93">
      <c r="A93" s="208">
        <v>8620.0</v>
      </c>
      <c r="B93" s="8" t="s">
        <v>5253</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5254</v>
      </c>
      <c r="K93" s="224" t="s">
        <v>5255</v>
      </c>
      <c r="L93" s="208" t="s">
        <v>4954</v>
      </c>
      <c r="M93" s="207"/>
      <c r="N93" s="208" t="s">
        <v>4342</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5254</v>
      </c>
      <c r="K94" s="236" t="s">
        <v>5256</v>
      </c>
      <c r="L94" s="208" t="s">
        <v>4954</v>
      </c>
      <c r="M94" s="207"/>
      <c r="N94" s="208"/>
      <c r="O94" s="8" t="s">
        <v>893</v>
      </c>
      <c r="P94" s="3"/>
      <c r="Q94" s="3"/>
      <c r="R94" s="3"/>
      <c r="S94" s="3"/>
      <c r="T94" s="3"/>
      <c r="U94" s="3"/>
      <c r="V94" s="3"/>
      <c r="W94" s="3"/>
      <c r="X94" s="3"/>
      <c r="Y94" s="3"/>
      <c r="Z94" s="3"/>
      <c r="AA94" s="3"/>
      <c r="AB94" s="3"/>
    </row>
    <row r="95">
      <c r="A95" s="208">
        <v>8581.0</v>
      </c>
      <c r="B95" s="8" t="s">
        <v>5257</v>
      </c>
      <c r="C95" s="8"/>
      <c r="D95" s="208" t="s">
        <v>2237</v>
      </c>
      <c r="E95" s="208" t="s">
        <v>2238</v>
      </c>
      <c r="F95" s="208" t="s">
        <v>45</v>
      </c>
      <c r="G95" s="207"/>
      <c r="H95" s="207"/>
      <c r="I95" s="208" t="s">
        <v>24</v>
      </c>
      <c r="J95" s="208" t="s">
        <v>5258</v>
      </c>
      <c r="K95" s="224" t="s">
        <v>5259</v>
      </c>
      <c r="L95" s="208" t="s">
        <v>4954</v>
      </c>
      <c r="M95" s="207"/>
      <c r="N95" s="208" t="s">
        <v>326</v>
      </c>
      <c r="O95" s="8" t="s">
        <v>5260</v>
      </c>
      <c r="P95" s="3"/>
      <c r="Q95" s="3"/>
      <c r="R95" s="3"/>
      <c r="S95" s="3"/>
      <c r="T95" s="3"/>
      <c r="U95" s="3"/>
      <c r="V95" s="3"/>
      <c r="W95" s="3"/>
      <c r="X95" s="3"/>
      <c r="Y95" s="3"/>
      <c r="Z95" s="3"/>
      <c r="AA95" s="3"/>
      <c r="AB95" s="3"/>
    </row>
    <row r="96">
      <c r="A96" s="208">
        <v>8581.0</v>
      </c>
      <c r="B96" s="8" t="s">
        <v>5257</v>
      </c>
      <c r="C96" s="8"/>
      <c r="D96" s="208" t="s">
        <v>2237</v>
      </c>
      <c r="E96" s="208" t="s">
        <v>2238</v>
      </c>
      <c r="F96" s="208" t="s">
        <v>45</v>
      </c>
      <c r="G96" s="207"/>
      <c r="H96" s="207"/>
      <c r="I96" s="208" t="s">
        <v>24</v>
      </c>
      <c r="J96" s="208" t="s">
        <v>5258</v>
      </c>
      <c r="K96" s="238" t="s">
        <v>5261</v>
      </c>
      <c r="L96" s="208" t="s">
        <v>4954</v>
      </c>
      <c r="M96" s="207"/>
      <c r="N96" s="208"/>
      <c r="O96" s="8" t="s">
        <v>5262</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5263</v>
      </c>
      <c r="K97" s="224" t="s">
        <v>5264</v>
      </c>
      <c r="L97" s="208" t="s">
        <v>4954</v>
      </c>
      <c r="M97" s="207"/>
      <c r="N97" s="208" t="s">
        <v>229</v>
      </c>
      <c r="O97" s="8" t="s">
        <v>893</v>
      </c>
      <c r="P97" s="3"/>
      <c r="Q97" s="3"/>
      <c r="R97" s="3"/>
      <c r="S97" s="3"/>
      <c r="T97" s="3"/>
      <c r="U97" s="3"/>
      <c r="V97" s="3"/>
      <c r="W97" s="3"/>
      <c r="X97" s="3"/>
      <c r="Y97" s="3"/>
      <c r="Z97" s="3"/>
      <c r="AA97" s="3"/>
      <c r="AB97" s="3"/>
    </row>
    <row r="98">
      <c r="A98" s="208">
        <v>8624.0</v>
      </c>
      <c r="B98" s="8" t="s">
        <v>5265</v>
      </c>
      <c r="C98" s="8" t="str">
        <f>IFERROR(__xludf.DUMMYFUNCTION("GOOGLETRANSLATE(B98)"),"Offshore Wind Energy Roadmap 2030")</f>
        <v>Offshore Wind Energy Roadmap 2030</v>
      </c>
      <c r="D98" s="208" t="s">
        <v>3150</v>
      </c>
      <c r="E98" s="208" t="s">
        <v>3151</v>
      </c>
      <c r="F98" s="208" t="s">
        <v>2329</v>
      </c>
      <c r="G98" s="207"/>
      <c r="H98" s="207"/>
      <c r="I98" s="208" t="s">
        <v>24</v>
      </c>
      <c r="J98" s="208" t="s">
        <v>5263</v>
      </c>
      <c r="K98" s="238" t="s">
        <v>5266</v>
      </c>
      <c r="L98" s="208" t="s">
        <v>4954</v>
      </c>
      <c r="M98" s="207"/>
      <c r="N98" s="208"/>
      <c r="O98" s="8" t="s">
        <v>5267</v>
      </c>
      <c r="P98" s="3"/>
      <c r="Q98" s="3"/>
      <c r="R98" s="3"/>
      <c r="S98" s="3"/>
      <c r="T98" s="3"/>
      <c r="U98" s="3"/>
      <c r="V98" s="3"/>
      <c r="W98" s="3"/>
      <c r="X98" s="3"/>
      <c r="Y98" s="3"/>
      <c r="Z98" s="3"/>
      <c r="AA98" s="3"/>
      <c r="AB98" s="3"/>
    </row>
    <row r="99">
      <c r="A99" s="204">
        <v>8579.0</v>
      </c>
      <c r="B99" s="2" t="s">
        <v>5268</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5269</v>
      </c>
      <c r="K99" s="212" t="s">
        <v>5270</v>
      </c>
      <c r="L99" s="204" t="s">
        <v>4954</v>
      </c>
      <c r="M99" s="138"/>
      <c r="N99" s="204" t="s">
        <v>326</v>
      </c>
      <c r="O99" s="25"/>
    </row>
    <row r="100">
      <c r="A100" s="208">
        <v>8579.0</v>
      </c>
      <c r="B100" s="239" t="s">
        <v>5271</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5269</v>
      </c>
      <c r="K100" s="238" t="s">
        <v>5272</v>
      </c>
      <c r="L100" s="208" t="s">
        <v>4954</v>
      </c>
      <c r="M100" s="207"/>
      <c r="N100" s="208"/>
      <c r="O100" s="8" t="s">
        <v>5273</v>
      </c>
      <c r="P100" s="3"/>
      <c r="Q100" s="3"/>
      <c r="R100" s="3"/>
      <c r="S100" s="3"/>
      <c r="T100" s="3"/>
      <c r="U100" s="3"/>
      <c r="V100" s="3"/>
      <c r="W100" s="3"/>
      <c r="X100" s="3"/>
      <c r="Y100" s="3"/>
      <c r="Z100" s="3"/>
      <c r="AA100" s="3"/>
      <c r="AB100" s="3"/>
    </row>
    <row r="101">
      <c r="A101" s="208">
        <v>8580.0</v>
      </c>
      <c r="B101" s="8" t="s">
        <v>5274</v>
      </c>
      <c r="C101" s="8"/>
      <c r="D101" s="208" t="s">
        <v>5275</v>
      </c>
      <c r="E101" s="208" t="s">
        <v>5276</v>
      </c>
      <c r="F101" s="208" t="s">
        <v>41</v>
      </c>
      <c r="G101" s="208"/>
      <c r="H101" s="208">
        <v>2013.0</v>
      </c>
      <c r="I101" s="208" t="s">
        <v>5277</v>
      </c>
      <c r="J101" s="208" t="s">
        <v>5278</v>
      </c>
      <c r="K101" s="224" t="s">
        <v>5279</v>
      </c>
      <c r="L101" s="208" t="s">
        <v>4954</v>
      </c>
      <c r="M101" s="208" t="s">
        <v>5280</v>
      </c>
      <c r="N101" s="208" t="s">
        <v>92</v>
      </c>
      <c r="O101" s="8"/>
      <c r="P101" s="3"/>
      <c r="Q101" s="3"/>
      <c r="R101" s="3"/>
      <c r="S101" s="3"/>
      <c r="T101" s="3"/>
      <c r="U101" s="3"/>
      <c r="V101" s="3"/>
      <c r="W101" s="3"/>
      <c r="X101" s="3"/>
      <c r="Y101" s="3"/>
      <c r="Z101" s="3"/>
      <c r="AA101" s="3"/>
      <c r="AB101" s="3"/>
    </row>
    <row r="102">
      <c r="A102" s="208">
        <v>8580.0</v>
      </c>
      <c r="B102" s="8" t="s">
        <v>5274</v>
      </c>
      <c r="C102" s="8"/>
      <c r="D102" s="208" t="s">
        <v>5275</v>
      </c>
      <c r="E102" s="208" t="s">
        <v>5276</v>
      </c>
      <c r="F102" s="208" t="s">
        <v>41</v>
      </c>
      <c r="G102" s="208"/>
      <c r="H102" s="208">
        <v>2013.0</v>
      </c>
      <c r="I102" s="208" t="s">
        <v>5277</v>
      </c>
      <c r="J102" s="208" t="s">
        <v>5278</v>
      </c>
      <c r="K102" s="238" t="s">
        <v>5281</v>
      </c>
      <c r="L102" s="208" t="s">
        <v>4954</v>
      </c>
      <c r="M102" s="208" t="s">
        <v>5280</v>
      </c>
      <c r="N102" s="208"/>
      <c r="O102" s="8"/>
      <c r="P102" s="3"/>
      <c r="Q102" s="3"/>
      <c r="R102" s="3"/>
      <c r="S102" s="3"/>
      <c r="T102" s="3"/>
      <c r="U102" s="3"/>
      <c r="V102" s="3"/>
      <c r="W102" s="3"/>
      <c r="X102" s="3"/>
      <c r="Y102" s="3"/>
      <c r="Z102" s="3"/>
      <c r="AA102" s="3"/>
      <c r="AB102" s="3"/>
    </row>
    <row r="103">
      <c r="A103" s="208">
        <v>8572.0</v>
      </c>
      <c r="B103" s="240" t="s">
        <v>5282</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5283</v>
      </c>
      <c r="E103" s="208" t="s">
        <v>5284</v>
      </c>
      <c r="F103" s="208" t="s">
        <v>5285</v>
      </c>
      <c r="G103" s="208"/>
      <c r="H103" s="208">
        <v>2001.0</v>
      </c>
      <c r="I103" s="208" t="s">
        <v>924</v>
      </c>
      <c r="J103" s="209" t="s">
        <v>5286</v>
      </c>
      <c r="K103" s="224" t="s">
        <v>5287</v>
      </c>
      <c r="L103" s="208" t="s">
        <v>4954</v>
      </c>
      <c r="M103" s="207"/>
      <c r="N103" s="208" t="s">
        <v>326</v>
      </c>
      <c r="O103" s="8" t="s">
        <v>823</v>
      </c>
      <c r="P103" s="3"/>
      <c r="Q103" s="3"/>
      <c r="R103" s="3"/>
      <c r="S103" s="3"/>
      <c r="T103" s="3"/>
      <c r="U103" s="3"/>
      <c r="V103" s="3"/>
      <c r="W103" s="3"/>
      <c r="X103" s="3"/>
      <c r="Y103" s="3"/>
      <c r="Z103" s="3"/>
      <c r="AA103" s="3"/>
      <c r="AB103" s="3"/>
    </row>
    <row r="104">
      <c r="A104" s="208">
        <v>8572.0</v>
      </c>
      <c r="B104" s="8" t="s">
        <v>5288</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5283</v>
      </c>
      <c r="E104" s="208" t="s">
        <v>5284</v>
      </c>
      <c r="F104" s="208" t="s">
        <v>5285</v>
      </c>
      <c r="G104" s="208"/>
      <c r="H104" s="208">
        <v>2003.0</v>
      </c>
      <c r="I104" s="208" t="s">
        <v>924</v>
      </c>
      <c r="J104" s="209" t="s">
        <v>5286</v>
      </c>
      <c r="K104" s="238" t="s">
        <v>5289</v>
      </c>
      <c r="L104" s="208" t="s">
        <v>4954</v>
      </c>
      <c r="M104" s="207"/>
      <c r="N104" s="208"/>
      <c r="O104" s="8" t="s">
        <v>823</v>
      </c>
      <c r="P104" s="3"/>
      <c r="Q104" s="3"/>
      <c r="R104" s="3"/>
      <c r="S104" s="3"/>
      <c r="T104" s="3"/>
      <c r="U104" s="3"/>
      <c r="V104" s="3"/>
      <c r="W104" s="3"/>
      <c r="X104" s="3"/>
      <c r="Y104" s="3"/>
      <c r="Z104" s="3"/>
      <c r="AA104" s="3"/>
      <c r="AB104" s="3"/>
    </row>
    <row r="105">
      <c r="A105" s="208">
        <v>8572.0</v>
      </c>
      <c r="B105" s="8" t="s">
        <v>5290</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5283</v>
      </c>
      <c r="E105" s="208" t="s">
        <v>5284</v>
      </c>
      <c r="F105" s="208" t="s">
        <v>5285</v>
      </c>
      <c r="G105" s="208"/>
      <c r="H105" s="208">
        <v>2004.0</v>
      </c>
      <c r="I105" s="208" t="s">
        <v>924</v>
      </c>
      <c r="J105" s="209" t="s">
        <v>5286</v>
      </c>
      <c r="K105" s="238" t="s">
        <v>5291</v>
      </c>
      <c r="L105" s="208" t="s">
        <v>4954</v>
      </c>
      <c r="M105" s="207"/>
      <c r="N105" s="208"/>
      <c r="O105" s="8" t="s">
        <v>823</v>
      </c>
      <c r="P105" s="3"/>
      <c r="Q105" s="3"/>
      <c r="R105" s="3"/>
      <c r="S105" s="3"/>
      <c r="T105" s="3"/>
      <c r="U105" s="3"/>
      <c r="V105" s="3"/>
      <c r="W105" s="3"/>
      <c r="X105" s="3"/>
      <c r="Y105" s="3"/>
      <c r="Z105" s="3"/>
      <c r="AA105" s="3"/>
      <c r="AB105" s="3"/>
    </row>
    <row r="106">
      <c r="A106" s="208">
        <v>8572.0</v>
      </c>
      <c r="B106" s="8" t="s">
        <v>5292</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5283</v>
      </c>
      <c r="E106" s="208" t="s">
        <v>5284</v>
      </c>
      <c r="F106" s="208" t="s">
        <v>5285</v>
      </c>
      <c r="G106" s="208"/>
      <c r="H106" s="208">
        <v>2006.0</v>
      </c>
      <c r="I106" s="208" t="s">
        <v>924</v>
      </c>
      <c r="J106" s="209" t="s">
        <v>5286</v>
      </c>
      <c r="K106" s="238" t="s">
        <v>5293</v>
      </c>
      <c r="L106" s="208" t="s">
        <v>4954</v>
      </c>
      <c r="M106" s="207"/>
      <c r="N106" s="208"/>
      <c r="O106" s="8" t="s">
        <v>823</v>
      </c>
      <c r="P106" s="3"/>
      <c r="Q106" s="3"/>
      <c r="R106" s="3"/>
      <c r="S106" s="3"/>
      <c r="T106" s="3"/>
      <c r="U106" s="3"/>
      <c r="V106" s="3"/>
      <c r="W106" s="3"/>
      <c r="X106" s="3"/>
      <c r="Y106" s="3"/>
      <c r="Z106" s="3"/>
      <c r="AA106" s="3"/>
      <c r="AB106" s="3"/>
    </row>
    <row r="107">
      <c r="A107" s="208">
        <v>8572.0</v>
      </c>
      <c r="B107" s="8" t="s">
        <v>5294</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5283</v>
      </c>
      <c r="E107" s="208" t="s">
        <v>5284</v>
      </c>
      <c r="F107" s="208" t="s">
        <v>5285</v>
      </c>
      <c r="G107" s="208"/>
      <c r="H107" s="208">
        <v>2016.0</v>
      </c>
      <c r="I107" s="208" t="s">
        <v>924</v>
      </c>
      <c r="J107" s="209" t="s">
        <v>5286</v>
      </c>
      <c r="K107" s="238" t="s">
        <v>5295</v>
      </c>
      <c r="L107" s="208" t="s">
        <v>4954</v>
      </c>
      <c r="M107" s="207"/>
      <c r="N107" s="208"/>
      <c r="O107" s="8" t="s">
        <v>823</v>
      </c>
      <c r="P107" s="3"/>
      <c r="Q107" s="3"/>
      <c r="R107" s="3"/>
      <c r="S107" s="3"/>
      <c r="T107" s="3"/>
      <c r="U107" s="3"/>
      <c r="V107" s="3"/>
      <c r="W107" s="3"/>
      <c r="X107" s="3"/>
      <c r="Y107" s="3"/>
      <c r="Z107" s="3"/>
      <c r="AA107" s="3"/>
      <c r="AB107" s="3"/>
    </row>
    <row r="108">
      <c r="A108" s="208">
        <v>8572.0</v>
      </c>
      <c r="B108" s="8" t="s">
        <v>5296</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5283</v>
      </c>
      <c r="E108" s="208" t="s">
        <v>5284</v>
      </c>
      <c r="F108" s="208" t="s">
        <v>5285</v>
      </c>
      <c r="G108" s="208"/>
      <c r="H108" s="208">
        <v>2017.0</v>
      </c>
      <c r="I108" s="208" t="s">
        <v>924</v>
      </c>
      <c r="J108" s="209" t="s">
        <v>5286</v>
      </c>
      <c r="K108" s="238" t="s">
        <v>5297</v>
      </c>
      <c r="L108" s="208" t="s">
        <v>4954</v>
      </c>
      <c r="M108" s="207"/>
      <c r="N108" s="208"/>
      <c r="O108" s="8" t="s">
        <v>823</v>
      </c>
      <c r="P108" s="3"/>
      <c r="Q108" s="3"/>
      <c r="R108" s="3"/>
      <c r="S108" s="3"/>
      <c r="T108" s="3"/>
      <c r="U108" s="3"/>
      <c r="V108" s="3"/>
      <c r="W108" s="3"/>
      <c r="X108" s="3"/>
      <c r="Y108" s="3"/>
      <c r="Z108" s="3"/>
      <c r="AA108" s="3"/>
      <c r="AB108" s="3"/>
    </row>
    <row r="109">
      <c r="A109" s="208">
        <v>8575.0</v>
      </c>
      <c r="B109" s="5"/>
      <c r="C109" s="8"/>
      <c r="D109" s="208" t="s">
        <v>5283</v>
      </c>
      <c r="E109" s="208" t="s">
        <v>5284</v>
      </c>
      <c r="F109" s="207"/>
      <c r="G109" s="207"/>
      <c r="H109" s="207"/>
      <c r="I109" s="207"/>
      <c r="J109" s="208" t="s">
        <v>5298</v>
      </c>
      <c r="K109" s="224" t="s">
        <v>5299</v>
      </c>
      <c r="L109" s="208" t="s">
        <v>4954</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5283</v>
      </c>
      <c r="E110" s="208" t="s">
        <v>5284</v>
      </c>
      <c r="F110" s="207"/>
      <c r="G110" s="207"/>
      <c r="H110" s="207"/>
      <c r="I110" s="207"/>
      <c r="J110" s="208" t="s">
        <v>5298</v>
      </c>
      <c r="K110" s="238" t="s">
        <v>5300</v>
      </c>
      <c r="L110" s="208" t="s">
        <v>4954</v>
      </c>
      <c r="M110" s="207"/>
      <c r="N110" s="208"/>
      <c r="O110" s="8" t="s">
        <v>893</v>
      </c>
      <c r="P110" s="3"/>
      <c r="Q110" s="3"/>
      <c r="R110" s="3"/>
      <c r="S110" s="3"/>
      <c r="T110" s="3"/>
      <c r="U110" s="3"/>
      <c r="V110" s="3"/>
      <c r="W110" s="3"/>
      <c r="X110" s="3"/>
      <c r="Y110" s="3"/>
      <c r="Z110" s="3"/>
      <c r="AA110" s="3"/>
      <c r="AB110" s="3"/>
    </row>
    <row r="111">
      <c r="A111" s="208">
        <v>8615.0</v>
      </c>
      <c r="B111" s="241" t="s">
        <v>5301</v>
      </c>
      <c r="C111" s="8" t="s">
        <v>5302</v>
      </c>
      <c r="D111" s="208" t="s">
        <v>5303</v>
      </c>
      <c r="E111" s="208" t="s">
        <v>5304</v>
      </c>
      <c r="F111" s="208" t="s">
        <v>34</v>
      </c>
      <c r="G111" s="207"/>
      <c r="H111" s="207"/>
      <c r="I111" s="208" t="s">
        <v>948</v>
      </c>
      <c r="J111" s="209" t="s">
        <v>5305</v>
      </c>
      <c r="K111" s="224" t="s">
        <v>5306</v>
      </c>
      <c r="L111" s="208" t="s">
        <v>4954</v>
      </c>
      <c r="M111" s="207"/>
      <c r="N111" s="208" t="s">
        <v>92</v>
      </c>
      <c r="O111" s="8" t="s">
        <v>5273</v>
      </c>
      <c r="P111" s="3"/>
      <c r="Q111" s="3"/>
      <c r="R111" s="3"/>
      <c r="S111" s="3"/>
      <c r="T111" s="3"/>
      <c r="U111" s="3"/>
      <c r="V111" s="3"/>
      <c r="W111" s="3"/>
      <c r="X111" s="3"/>
      <c r="Y111" s="3"/>
      <c r="Z111" s="3"/>
      <c r="AA111" s="3"/>
      <c r="AB111" s="3"/>
    </row>
    <row r="112">
      <c r="A112" s="208">
        <v>8615.0</v>
      </c>
      <c r="B112" s="8" t="s">
        <v>5307</v>
      </c>
      <c r="C112" s="8"/>
      <c r="D112" s="208" t="s">
        <v>5303</v>
      </c>
      <c r="E112" s="208" t="s">
        <v>5304</v>
      </c>
      <c r="F112" s="208" t="s">
        <v>45</v>
      </c>
      <c r="G112" s="208"/>
      <c r="H112" s="208">
        <v>2019.0</v>
      </c>
      <c r="I112" s="208" t="s">
        <v>24</v>
      </c>
      <c r="J112" s="209" t="s">
        <v>5305</v>
      </c>
      <c r="K112" s="238" t="s">
        <v>5308</v>
      </c>
      <c r="L112" s="208" t="s">
        <v>4954</v>
      </c>
      <c r="M112" s="207"/>
      <c r="N112" s="208"/>
      <c r="O112" s="8" t="s">
        <v>823</v>
      </c>
      <c r="P112" s="3"/>
      <c r="Q112" s="3"/>
      <c r="R112" s="3"/>
      <c r="S112" s="3"/>
      <c r="T112" s="3"/>
      <c r="U112" s="3"/>
      <c r="V112" s="3"/>
      <c r="W112" s="3"/>
      <c r="X112" s="3"/>
      <c r="Y112" s="3"/>
      <c r="Z112" s="3"/>
      <c r="AA112" s="3"/>
      <c r="AB112" s="3"/>
    </row>
    <row r="113">
      <c r="A113" s="208">
        <v>8606.0</v>
      </c>
      <c r="B113" s="242" t="s">
        <v>5309</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5310</v>
      </c>
      <c r="E113" s="208" t="s">
        <v>5311</v>
      </c>
      <c r="F113" s="208" t="s">
        <v>217</v>
      </c>
      <c r="G113" s="208"/>
      <c r="H113" s="208">
        <v>2011.0</v>
      </c>
      <c r="I113" s="208" t="s">
        <v>5312</v>
      </c>
      <c r="J113" s="208" t="s">
        <v>5313</v>
      </c>
      <c r="K113" s="224" t="s">
        <v>5314</v>
      </c>
      <c r="L113" s="208" t="s">
        <v>4954</v>
      </c>
      <c r="M113" s="207"/>
      <c r="N113" s="208" t="s">
        <v>37</v>
      </c>
      <c r="O113" s="8" t="s">
        <v>823</v>
      </c>
      <c r="P113" s="3"/>
      <c r="Q113" s="3"/>
      <c r="R113" s="3"/>
      <c r="S113" s="3"/>
      <c r="T113" s="3"/>
      <c r="U113" s="3"/>
      <c r="V113" s="3"/>
      <c r="W113" s="3"/>
      <c r="X113" s="3"/>
      <c r="Y113" s="3"/>
      <c r="Z113" s="3"/>
      <c r="AA113" s="3"/>
      <c r="AB113" s="3"/>
    </row>
    <row r="114">
      <c r="A114" s="208">
        <v>8606.0</v>
      </c>
      <c r="B114" s="243" t="s">
        <v>5315</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5310</v>
      </c>
      <c r="E114" s="208" t="s">
        <v>5311</v>
      </c>
      <c r="F114" s="208" t="s">
        <v>217</v>
      </c>
      <c r="G114" s="208"/>
      <c r="H114" s="208">
        <v>2011.0</v>
      </c>
      <c r="I114" s="208" t="s">
        <v>5312</v>
      </c>
      <c r="J114" s="208" t="s">
        <v>5313</v>
      </c>
      <c r="K114" s="238" t="s">
        <v>5316</v>
      </c>
      <c r="L114" s="208" t="s">
        <v>4954</v>
      </c>
      <c r="M114" s="207"/>
      <c r="N114" s="207"/>
      <c r="O114" s="8" t="s">
        <v>823</v>
      </c>
      <c r="P114" s="3"/>
      <c r="Q114" s="3"/>
      <c r="R114" s="3"/>
      <c r="S114" s="3"/>
      <c r="T114" s="3"/>
      <c r="U114" s="3"/>
      <c r="V114" s="3"/>
      <c r="W114" s="3"/>
      <c r="X114" s="3"/>
      <c r="Y114" s="3"/>
      <c r="Z114" s="3"/>
      <c r="AA114" s="3"/>
      <c r="AB114" s="3"/>
    </row>
    <row r="115">
      <c r="A115" s="208">
        <v>8606.0</v>
      </c>
      <c r="B115" s="244" t="s">
        <v>5317</v>
      </c>
      <c r="C115" s="5" t="str">
        <f>IFERROR(__xludf.DUMMYFUNCTION("GOOGLETRANSLATE(B115)"),"Regulation on Florian Greenhouse Gases First Chapter")</f>
        <v>Regulation on Florian Greenhouse Gases First Chapter</v>
      </c>
      <c r="D115" s="208" t="s">
        <v>5310</v>
      </c>
      <c r="E115" s="208" t="s">
        <v>5311</v>
      </c>
      <c r="F115" s="208" t="s">
        <v>34</v>
      </c>
      <c r="G115" s="208"/>
      <c r="H115" s="208">
        <v>2018.0</v>
      </c>
      <c r="I115" s="208" t="s">
        <v>5312</v>
      </c>
      <c r="J115" s="208" t="s">
        <v>5313</v>
      </c>
      <c r="K115" s="238" t="s">
        <v>5318</v>
      </c>
      <c r="L115" s="208" t="s">
        <v>4954</v>
      </c>
      <c r="M115" s="207"/>
      <c r="N115" s="207"/>
      <c r="O115" s="8" t="s">
        <v>5319</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5320</v>
      </c>
      <c r="C2" s="29" t="s">
        <v>432</v>
      </c>
      <c r="D2" s="29" t="s">
        <v>4950</v>
      </c>
      <c r="E2" s="29" t="s">
        <v>4951</v>
      </c>
      <c r="F2" s="30"/>
      <c r="G2" s="29" t="s">
        <v>664</v>
      </c>
      <c r="H2" s="29" t="s">
        <v>434</v>
      </c>
      <c r="I2" s="29" t="s">
        <v>144</v>
      </c>
      <c r="J2" s="30"/>
      <c r="K2" s="30"/>
      <c r="L2" s="29" t="s">
        <v>511</v>
      </c>
      <c r="M2" s="29" t="s">
        <v>5321</v>
      </c>
      <c r="N2" s="29"/>
      <c r="O2" s="29"/>
      <c r="P2" s="29" t="s">
        <v>5322</v>
      </c>
    </row>
    <row r="3">
      <c r="A3" s="28">
        <v>1737.0</v>
      </c>
      <c r="B3" s="29" t="s">
        <v>5323</v>
      </c>
      <c r="C3" s="29" t="s">
        <v>449</v>
      </c>
      <c r="D3" s="29" t="s">
        <v>4960</v>
      </c>
      <c r="E3" s="29" t="s">
        <v>4961</v>
      </c>
      <c r="F3" s="30"/>
      <c r="G3" s="29" t="s">
        <v>441</v>
      </c>
      <c r="H3" s="29" t="s">
        <v>434</v>
      </c>
      <c r="I3" s="29" t="s">
        <v>41</v>
      </c>
      <c r="J3" s="30"/>
      <c r="K3" s="29" t="s">
        <v>659</v>
      </c>
      <c r="L3" s="29" t="s">
        <v>1136</v>
      </c>
      <c r="M3" s="29" t="s">
        <v>5324</v>
      </c>
      <c r="N3" s="29"/>
      <c r="O3" s="29"/>
      <c r="P3" s="29" t="s">
        <v>5325</v>
      </c>
    </row>
    <row r="4">
      <c r="A4" s="28">
        <v>9213.0</v>
      </c>
      <c r="B4" s="29" t="s">
        <v>5326</v>
      </c>
      <c r="C4" s="29" t="s">
        <v>449</v>
      </c>
      <c r="D4" s="29" t="s">
        <v>4960</v>
      </c>
      <c r="E4" s="29" t="s">
        <v>4961</v>
      </c>
      <c r="F4" s="30"/>
      <c r="G4" s="29" t="s">
        <v>441</v>
      </c>
      <c r="H4" s="29" t="s">
        <v>1157</v>
      </c>
      <c r="I4" s="29" t="s">
        <v>41</v>
      </c>
      <c r="J4" s="30"/>
      <c r="K4" s="29" t="s">
        <v>444</v>
      </c>
      <c r="L4" s="29" t="s">
        <v>489</v>
      </c>
      <c r="M4" s="29" t="s">
        <v>5327</v>
      </c>
      <c r="N4" s="29"/>
      <c r="O4" s="29"/>
      <c r="P4" s="29" t="s">
        <v>5328</v>
      </c>
    </row>
    <row r="5">
      <c r="A5" s="28">
        <v>9755.0</v>
      </c>
      <c r="B5" s="29" t="s">
        <v>5329</v>
      </c>
      <c r="C5" s="29" t="s">
        <v>432</v>
      </c>
      <c r="D5" s="29" t="s">
        <v>4960</v>
      </c>
      <c r="E5" s="29" t="s">
        <v>4961</v>
      </c>
      <c r="F5" s="30"/>
      <c r="G5" s="29" t="s">
        <v>441</v>
      </c>
      <c r="H5" s="29" t="s">
        <v>469</v>
      </c>
      <c r="I5" s="29" t="s">
        <v>435</v>
      </c>
      <c r="J5" s="30"/>
      <c r="K5" s="29" t="s">
        <v>5330</v>
      </c>
      <c r="L5" s="29" t="s">
        <v>4119</v>
      </c>
      <c r="M5" s="29" t="s">
        <v>5331</v>
      </c>
      <c r="N5" s="29"/>
      <c r="O5" s="29"/>
      <c r="P5" s="29" t="s">
        <v>5332</v>
      </c>
    </row>
    <row r="6">
      <c r="A6" s="28">
        <v>10115.0</v>
      </c>
      <c r="B6" s="29" t="s">
        <v>5333</v>
      </c>
      <c r="C6" s="29" t="s">
        <v>432</v>
      </c>
      <c r="D6" s="29" t="s">
        <v>4960</v>
      </c>
      <c r="E6" s="29" t="s">
        <v>4961</v>
      </c>
      <c r="F6" s="30"/>
      <c r="G6" s="29" t="s">
        <v>441</v>
      </c>
      <c r="H6" s="29" t="s">
        <v>434</v>
      </c>
      <c r="I6" s="29" t="s">
        <v>18</v>
      </c>
      <c r="J6" s="30"/>
      <c r="K6" s="30"/>
      <c r="L6" s="29" t="s">
        <v>511</v>
      </c>
      <c r="M6" s="29" t="s">
        <v>5334</v>
      </c>
      <c r="N6" s="29"/>
      <c r="O6" s="29"/>
      <c r="P6" s="29" t="s">
        <v>5335</v>
      </c>
    </row>
    <row r="7">
      <c r="A7" s="28">
        <v>10294.0</v>
      </c>
      <c r="B7" s="29" t="s">
        <v>5336</v>
      </c>
      <c r="C7" s="29" t="s">
        <v>432</v>
      </c>
      <c r="D7" s="29" t="s">
        <v>4960</v>
      </c>
      <c r="E7" s="29" t="s">
        <v>4961</v>
      </c>
      <c r="F7" s="30"/>
      <c r="G7" s="29" t="s">
        <v>441</v>
      </c>
      <c r="H7" s="29" t="s">
        <v>434</v>
      </c>
      <c r="I7" s="29" t="s">
        <v>1741</v>
      </c>
      <c r="J7" s="30"/>
      <c r="K7" s="30"/>
      <c r="L7" s="29" t="s">
        <v>1781</v>
      </c>
      <c r="M7" s="29" t="s">
        <v>5337</v>
      </c>
      <c r="N7" s="29"/>
      <c r="O7" s="29"/>
      <c r="P7" s="29" t="s">
        <v>5338</v>
      </c>
    </row>
    <row r="8">
      <c r="A8" s="28">
        <v>1746.0</v>
      </c>
      <c r="B8" s="29" t="s">
        <v>5339</v>
      </c>
      <c r="C8" s="29" t="s">
        <v>432</v>
      </c>
      <c r="D8" s="29" t="s">
        <v>5004</v>
      </c>
      <c r="E8" s="29" t="s">
        <v>5005</v>
      </c>
      <c r="F8" s="29" t="s">
        <v>450</v>
      </c>
      <c r="G8" s="29" t="s">
        <v>450</v>
      </c>
      <c r="H8" s="29" t="s">
        <v>5340</v>
      </c>
      <c r="I8" s="29" t="s">
        <v>850</v>
      </c>
      <c r="J8" s="29" t="s">
        <v>5341</v>
      </c>
      <c r="K8" s="29" t="s">
        <v>450</v>
      </c>
      <c r="L8" s="29" t="s">
        <v>465</v>
      </c>
      <c r="M8" s="29" t="s">
        <v>5342</v>
      </c>
      <c r="N8" s="29"/>
      <c r="O8" s="29"/>
      <c r="P8" s="29" t="s">
        <v>5343</v>
      </c>
    </row>
    <row r="9">
      <c r="A9" s="28">
        <v>1754.0</v>
      </c>
      <c r="B9" s="29" t="s">
        <v>5344</v>
      </c>
      <c r="C9" s="29" t="s">
        <v>449</v>
      </c>
      <c r="D9" s="29" t="s">
        <v>5004</v>
      </c>
      <c r="E9" s="29" t="s">
        <v>5005</v>
      </c>
      <c r="F9" s="30"/>
      <c r="G9" s="29" t="s">
        <v>441</v>
      </c>
      <c r="H9" s="29" t="s">
        <v>434</v>
      </c>
      <c r="I9" s="29" t="s">
        <v>41</v>
      </c>
      <c r="J9" s="30"/>
      <c r="K9" s="29" t="s">
        <v>5345</v>
      </c>
      <c r="L9" s="29" t="s">
        <v>459</v>
      </c>
      <c r="M9" s="29" t="s">
        <v>5346</v>
      </c>
      <c r="N9" s="29"/>
      <c r="O9" s="29"/>
      <c r="P9" s="29" t="s">
        <v>5347</v>
      </c>
    </row>
    <row r="10">
      <c r="A10" s="28">
        <v>1755.0</v>
      </c>
      <c r="B10" s="29" t="s">
        <v>4682</v>
      </c>
      <c r="C10" s="29" t="s">
        <v>449</v>
      </c>
      <c r="D10" s="29" t="s">
        <v>5004</v>
      </c>
      <c r="E10" s="29" t="s">
        <v>5005</v>
      </c>
      <c r="F10" s="29" t="s">
        <v>433</v>
      </c>
      <c r="G10" s="29" t="s">
        <v>433</v>
      </c>
      <c r="H10" s="29" t="s">
        <v>5348</v>
      </c>
      <c r="I10" s="29" t="s">
        <v>41</v>
      </c>
      <c r="J10" s="29" t="s">
        <v>1827</v>
      </c>
      <c r="K10" s="29" t="s">
        <v>5349</v>
      </c>
      <c r="L10" s="29" t="s">
        <v>1142</v>
      </c>
      <c r="M10" s="29" t="s">
        <v>5350</v>
      </c>
      <c r="N10" s="29"/>
      <c r="O10" s="29"/>
      <c r="P10" s="29" t="s">
        <v>5351</v>
      </c>
    </row>
    <row r="11">
      <c r="A11" s="28">
        <v>1765.0</v>
      </c>
      <c r="B11" s="29" t="s">
        <v>5352</v>
      </c>
      <c r="C11" s="29" t="s">
        <v>449</v>
      </c>
      <c r="D11" s="29" t="s">
        <v>5004</v>
      </c>
      <c r="E11" s="29" t="s">
        <v>5005</v>
      </c>
      <c r="F11" s="30"/>
      <c r="G11" s="29" t="s">
        <v>441</v>
      </c>
      <c r="H11" s="29" t="s">
        <v>3036</v>
      </c>
      <c r="I11" s="29" t="s">
        <v>41</v>
      </c>
      <c r="J11" s="30"/>
      <c r="K11" s="29" t="s">
        <v>5353</v>
      </c>
      <c r="L11" s="29" t="s">
        <v>445</v>
      </c>
      <c r="M11" s="29" t="s">
        <v>5354</v>
      </c>
      <c r="N11" s="29"/>
      <c r="O11" s="29"/>
      <c r="P11" s="29" t="s">
        <v>5355</v>
      </c>
    </row>
    <row r="12">
      <c r="A12" s="28">
        <v>1766.0</v>
      </c>
      <c r="B12" s="29" t="s">
        <v>5035</v>
      </c>
      <c r="C12" s="29" t="s">
        <v>449</v>
      </c>
      <c r="D12" s="29" t="s">
        <v>5004</v>
      </c>
      <c r="E12" s="29" t="s">
        <v>5005</v>
      </c>
      <c r="F12" s="30"/>
      <c r="G12" s="29" t="s">
        <v>441</v>
      </c>
      <c r="H12" s="29" t="s">
        <v>3036</v>
      </c>
      <c r="I12" s="29" t="s">
        <v>41</v>
      </c>
      <c r="J12" s="30"/>
      <c r="K12" s="29" t="s">
        <v>493</v>
      </c>
      <c r="L12" s="29" t="s">
        <v>621</v>
      </c>
      <c r="M12" s="29" t="s">
        <v>5356</v>
      </c>
      <c r="N12" s="29"/>
      <c r="O12" s="29"/>
      <c r="P12" s="29" t="s">
        <v>5357</v>
      </c>
    </row>
    <row r="13">
      <c r="A13" s="28">
        <v>1767.0</v>
      </c>
      <c r="B13" s="29" t="s">
        <v>5358</v>
      </c>
      <c r="C13" s="29" t="s">
        <v>449</v>
      </c>
      <c r="D13" s="29" t="s">
        <v>5004</v>
      </c>
      <c r="E13" s="29" t="s">
        <v>5005</v>
      </c>
      <c r="F13" s="30"/>
      <c r="G13" s="29" t="s">
        <v>441</v>
      </c>
      <c r="H13" s="29" t="s">
        <v>469</v>
      </c>
      <c r="I13" s="29" t="s">
        <v>41</v>
      </c>
      <c r="J13" s="30"/>
      <c r="K13" s="29" t="s">
        <v>1141</v>
      </c>
      <c r="L13" s="29" t="s">
        <v>459</v>
      </c>
      <c r="M13" s="29" t="s">
        <v>5359</v>
      </c>
      <c r="N13" s="29"/>
      <c r="O13" s="29"/>
      <c r="P13" s="29" t="s">
        <v>5360</v>
      </c>
    </row>
    <row r="14">
      <c r="A14" s="28">
        <v>2045.0</v>
      </c>
      <c r="B14" s="29" t="s">
        <v>5361</v>
      </c>
      <c r="C14" s="29" t="s">
        <v>449</v>
      </c>
      <c r="D14" s="29" t="s">
        <v>5004</v>
      </c>
      <c r="E14" s="29" t="s">
        <v>5005</v>
      </c>
      <c r="F14" s="30"/>
      <c r="G14" s="29" t="s">
        <v>441</v>
      </c>
      <c r="H14" s="29" t="s">
        <v>3067</v>
      </c>
      <c r="I14" s="29" t="s">
        <v>41</v>
      </c>
      <c r="J14" s="30"/>
      <c r="K14" s="29" t="s">
        <v>643</v>
      </c>
      <c r="L14" s="29" t="s">
        <v>522</v>
      </c>
      <c r="M14" s="29" t="s">
        <v>5362</v>
      </c>
      <c r="N14" s="29"/>
      <c r="O14" s="29"/>
      <c r="P14" s="29" t="s">
        <v>5363</v>
      </c>
    </row>
    <row r="15">
      <c r="A15" s="28">
        <v>9460.0</v>
      </c>
      <c r="B15" s="29" t="s">
        <v>5364</v>
      </c>
      <c r="C15" s="29" t="s">
        <v>432</v>
      </c>
      <c r="D15" s="29" t="s">
        <v>5004</v>
      </c>
      <c r="E15" s="29" t="s">
        <v>5005</v>
      </c>
      <c r="F15" s="30"/>
      <c r="G15" s="29" t="s">
        <v>441</v>
      </c>
      <c r="H15" s="29" t="s">
        <v>1784</v>
      </c>
      <c r="I15" s="29" t="s">
        <v>144</v>
      </c>
      <c r="J15" s="30"/>
      <c r="K15" s="29" t="s">
        <v>5365</v>
      </c>
      <c r="L15" s="29" t="s">
        <v>476</v>
      </c>
      <c r="M15" s="29" t="s">
        <v>5366</v>
      </c>
      <c r="N15" s="29"/>
      <c r="O15" s="29"/>
      <c r="P15" s="29" t="s">
        <v>5367</v>
      </c>
    </row>
    <row r="16">
      <c r="A16" s="28">
        <v>9487.0</v>
      </c>
      <c r="B16" s="29" t="s">
        <v>5368</v>
      </c>
      <c r="C16" s="29" t="s">
        <v>432</v>
      </c>
      <c r="D16" s="29" t="s">
        <v>5004</v>
      </c>
      <c r="E16" s="29" t="s">
        <v>5005</v>
      </c>
      <c r="F16" s="30"/>
      <c r="G16" s="29" t="s">
        <v>441</v>
      </c>
      <c r="H16" s="29" t="s">
        <v>5369</v>
      </c>
      <c r="I16" s="29" t="s">
        <v>686</v>
      </c>
      <c r="J16" s="30"/>
      <c r="K16" s="29" t="s">
        <v>5370</v>
      </c>
      <c r="L16" s="29" t="s">
        <v>476</v>
      </c>
      <c r="M16" s="29" t="s">
        <v>5371</v>
      </c>
      <c r="N16" s="29"/>
      <c r="O16" s="29"/>
      <c r="P16" s="29" t="s">
        <v>5372</v>
      </c>
    </row>
    <row r="17">
      <c r="A17" s="28">
        <v>9743.0</v>
      </c>
      <c r="B17" s="29" t="s">
        <v>5062</v>
      </c>
      <c r="C17" s="29" t="s">
        <v>449</v>
      </c>
      <c r="D17" s="29" t="s">
        <v>5004</v>
      </c>
      <c r="E17" s="29" t="s">
        <v>5005</v>
      </c>
      <c r="F17" s="30"/>
      <c r="G17" s="29" t="s">
        <v>441</v>
      </c>
      <c r="H17" s="29" t="s">
        <v>434</v>
      </c>
      <c r="I17" s="29" t="s">
        <v>45</v>
      </c>
      <c r="J17" s="30"/>
      <c r="K17" s="29" t="s">
        <v>5373</v>
      </c>
      <c r="L17" s="29" t="s">
        <v>459</v>
      </c>
      <c r="M17" s="29" t="s">
        <v>5374</v>
      </c>
      <c r="N17" s="29"/>
      <c r="O17" s="29"/>
      <c r="P17" s="29" t="s">
        <v>5375</v>
      </c>
    </row>
    <row r="18">
      <c r="A18" s="28">
        <v>9942.0</v>
      </c>
      <c r="B18" s="29" t="s">
        <v>5376</v>
      </c>
      <c r="C18" s="29" t="s">
        <v>432</v>
      </c>
      <c r="D18" s="29" t="s">
        <v>5004</v>
      </c>
      <c r="E18" s="29" t="s">
        <v>5005</v>
      </c>
      <c r="F18" s="30"/>
      <c r="G18" s="29" t="s">
        <v>433</v>
      </c>
      <c r="H18" s="29" t="s">
        <v>1183</v>
      </c>
      <c r="I18" s="29" t="s">
        <v>443</v>
      </c>
      <c r="J18" s="30"/>
      <c r="K18" s="29" t="s">
        <v>5377</v>
      </c>
      <c r="L18" s="29" t="s">
        <v>489</v>
      </c>
      <c r="M18" s="29" t="s">
        <v>5378</v>
      </c>
      <c r="N18" s="29"/>
      <c r="O18" s="29"/>
      <c r="P18" s="29" t="s">
        <v>5379</v>
      </c>
    </row>
    <row r="19">
      <c r="A19" s="28">
        <v>9957.0</v>
      </c>
      <c r="B19" s="29" t="s">
        <v>5380</v>
      </c>
      <c r="C19" s="29" t="s">
        <v>449</v>
      </c>
      <c r="D19" s="29" t="s">
        <v>5004</v>
      </c>
      <c r="E19" s="29" t="s">
        <v>5005</v>
      </c>
      <c r="F19" s="30"/>
      <c r="G19" s="29" t="s">
        <v>450</v>
      </c>
      <c r="H19" s="29" t="s">
        <v>5381</v>
      </c>
      <c r="I19" s="29" t="s">
        <v>45</v>
      </c>
      <c r="J19" s="30"/>
      <c r="K19" s="29" t="s">
        <v>5382</v>
      </c>
      <c r="L19" s="29" t="s">
        <v>5383</v>
      </c>
      <c r="M19" s="29" t="s">
        <v>5384</v>
      </c>
      <c r="N19" s="29"/>
      <c r="O19" s="29"/>
      <c r="P19" s="29" t="s">
        <v>5385</v>
      </c>
    </row>
    <row r="20">
      <c r="A20" s="28">
        <v>10238.0</v>
      </c>
      <c r="B20" s="29" t="s">
        <v>5077</v>
      </c>
      <c r="C20" s="29" t="s">
        <v>432</v>
      </c>
      <c r="D20" s="29" t="s">
        <v>5004</v>
      </c>
      <c r="E20" s="29" t="s">
        <v>5005</v>
      </c>
      <c r="F20" s="30"/>
      <c r="G20" s="29" t="s">
        <v>441</v>
      </c>
      <c r="H20" s="29" t="s">
        <v>5386</v>
      </c>
      <c r="I20" s="29" t="s">
        <v>144</v>
      </c>
      <c r="J20" s="30"/>
      <c r="K20" s="29" t="s">
        <v>5387</v>
      </c>
      <c r="L20" s="29" t="s">
        <v>5388</v>
      </c>
      <c r="M20" s="29" t="s">
        <v>5389</v>
      </c>
      <c r="N20" s="29"/>
      <c r="O20" s="29"/>
      <c r="P20" s="29" t="s">
        <v>5390</v>
      </c>
    </row>
    <row r="21">
      <c r="A21" s="28">
        <v>9746.0</v>
      </c>
      <c r="B21" s="29" t="s">
        <v>5391</v>
      </c>
      <c r="C21" s="29" t="s">
        <v>449</v>
      </c>
      <c r="D21" s="29" t="s">
        <v>5083</v>
      </c>
      <c r="E21" s="29" t="s">
        <v>5084</v>
      </c>
      <c r="F21" s="30"/>
      <c r="G21" s="29" t="s">
        <v>670</v>
      </c>
      <c r="H21" s="29" t="s">
        <v>5392</v>
      </c>
      <c r="I21" s="29" t="s">
        <v>45</v>
      </c>
      <c r="J21" s="30"/>
      <c r="K21" s="29" t="s">
        <v>5393</v>
      </c>
      <c r="L21" s="29" t="s">
        <v>1159</v>
      </c>
      <c r="M21" s="29" t="s">
        <v>5394</v>
      </c>
      <c r="N21" s="29"/>
      <c r="O21" s="29"/>
      <c r="P21" s="29" t="s">
        <v>5395</v>
      </c>
    </row>
    <row r="22">
      <c r="A22" s="28">
        <v>9748.0</v>
      </c>
      <c r="B22" s="29" t="s">
        <v>5093</v>
      </c>
      <c r="C22" s="29" t="s">
        <v>432</v>
      </c>
      <c r="D22" s="29" t="s">
        <v>5083</v>
      </c>
      <c r="E22" s="29" t="s">
        <v>5084</v>
      </c>
      <c r="F22" s="30"/>
      <c r="G22" s="29" t="s">
        <v>433</v>
      </c>
      <c r="H22" s="29" t="s">
        <v>5396</v>
      </c>
      <c r="I22" s="29" t="s">
        <v>435</v>
      </c>
      <c r="J22" s="30"/>
      <c r="K22" s="29" t="s">
        <v>5397</v>
      </c>
      <c r="L22" s="29" t="s">
        <v>5398</v>
      </c>
      <c r="M22" s="29" t="s">
        <v>5399</v>
      </c>
      <c r="N22" s="29"/>
      <c r="O22" s="29"/>
      <c r="P22" s="29" t="s">
        <v>5400</v>
      </c>
    </row>
    <row r="23">
      <c r="A23" s="28">
        <v>10170.0</v>
      </c>
      <c r="B23" s="29" t="s">
        <v>5401</v>
      </c>
      <c r="C23" s="29" t="s">
        <v>432</v>
      </c>
      <c r="D23" s="29" t="s">
        <v>5083</v>
      </c>
      <c r="E23" s="29" t="s">
        <v>5084</v>
      </c>
      <c r="F23" s="30"/>
      <c r="G23" s="29" t="s">
        <v>441</v>
      </c>
      <c r="H23" s="29" t="s">
        <v>469</v>
      </c>
      <c r="I23" s="29" t="s">
        <v>5402</v>
      </c>
      <c r="J23" s="30"/>
      <c r="K23" s="29" t="s">
        <v>5403</v>
      </c>
      <c r="L23" s="29" t="s">
        <v>1776</v>
      </c>
      <c r="M23" s="29" t="s">
        <v>5404</v>
      </c>
      <c r="N23" s="29"/>
      <c r="O23" s="29"/>
      <c r="P23" s="29" t="s">
        <v>5405</v>
      </c>
    </row>
    <row r="24">
      <c r="A24" s="28">
        <v>10383.0</v>
      </c>
      <c r="B24" s="29" t="s">
        <v>5406</v>
      </c>
      <c r="C24" s="29" t="s">
        <v>432</v>
      </c>
      <c r="D24" s="29" t="s">
        <v>5083</v>
      </c>
      <c r="E24" s="29" t="s">
        <v>5084</v>
      </c>
      <c r="F24" s="30"/>
      <c r="G24" s="29" t="s">
        <v>433</v>
      </c>
      <c r="H24" s="29" t="s">
        <v>434</v>
      </c>
      <c r="I24" s="29" t="s">
        <v>4244</v>
      </c>
      <c r="J24" s="30"/>
      <c r="K24" s="29" t="s">
        <v>5407</v>
      </c>
      <c r="L24" s="29" t="s">
        <v>5408</v>
      </c>
      <c r="M24" s="29" t="s">
        <v>5409</v>
      </c>
      <c r="N24" s="29"/>
      <c r="O24" s="29"/>
      <c r="P24" s="29" t="s">
        <v>5410</v>
      </c>
    </row>
    <row r="25">
      <c r="A25" s="28">
        <v>1783.0</v>
      </c>
      <c r="B25" s="29" t="s">
        <v>5411</v>
      </c>
      <c r="C25" s="29" t="s">
        <v>449</v>
      </c>
      <c r="D25" s="29" t="s">
        <v>5119</v>
      </c>
      <c r="E25" s="29" t="s">
        <v>5120</v>
      </c>
      <c r="F25" s="30"/>
      <c r="G25" s="29" t="s">
        <v>433</v>
      </c>
      <c r="H25" s="29" t="s">
        <v>434</v>
      </c>
      <c r="I25" s="29" t="s">
        <v>41</v>
      </c>
      <c r="J25" s="30"/>
      <c r="K25" s="29" t="s">
        <v>5412</v>
      </c>
      <c r="L25" s="29" t="s">
        <v>5413</v>
      </c>
      <c r="M25" s="29" t="s">
        <v>5414</v>
      </c>
      <c r="N25" s="29"/>
      <c r="O25" s="29"/>
      <c r="P25" s="29" t="s">
        <v>5415</v>
      </c>
    </row>
    <row r="26">
      <c r="A26" s="28">
        <v>10421.0</v>
      </c>
      <c r="B26" s="29" t="s">
        <v>5416</v>
      </c>
      <c r="C26" s="29" t="s">
        <v>432</v>
      </c>
      <c r="D26" s="29" t="s">
        <v>5127</v>
      </c>
      <c r="E26" s="29" t="s">
        <v>5128</v>
      </c>
      <c r="F26" s="30"/>
      <c r="G26" s="29" t="s">
        <v>433</v>
      </c>
      <c r="H26" s="29" t="s">
        <v>671</v>
      </c>
      <c r="I26" s="29" t="s">
        <v>18</v>
      </c>
      <c r="J26" s="30"/>
      <c r="K26" s="30"/>
      <c r="L26" s="29" t="s">
        <v>5417</v>
      </c>
      <c r="M26" s="29" t="s">
        <v>5418</v>
      </c>
      <c r="N26" s="29"/>
      <c r="O26" s="29"/>
      <c r="P26" s="29" t="s">
        <v>5419</v>
      </c>
    </row>
    <row r="27">
      <c r="A27" s="28">
        <v>1791.0</v>
      </c>
      <c r="B27" s="29" t="s">
        <v>5420</v>
      </c>
      <c r="C27" s="29" t="s">
        <v>449</v>
      </c>
      <c r="D27" s="29" t="s">
        <v>5137</v>
      </c>
      <c r="E27" s="29" t="s">
        <v>5138</v>
      </c>
      <c r="F27" s="30"/>
      <c r="G27" s="29" t="s">
        <v>610</v>
      </c>
      <c r="H27" s="29" t="s">
        <v>519</v>
      </c>
      <c r="I27" s="29" t="s">
        <v>41</v>
      </c>
      <c r="J27" s="30"/>
      <c r="K27" s="29" t="s">
        <v>450</v>
      </c>
      <c r="L27" s="29" t="s">
        <v>3120</v>
      </c>
      <c r="M27" s="29" t="s">
        <v>5421</v>
      </c>
      <c r="N27" s="29"/>
      <c r="O27" s="29"/>
      <c r="P27" s="29" t="s">
        <v>5422</v>
      </c>
    </row>
    <row r="28">
      <c r="A28" s="28">
        <v>1792.0</v>
      </c>
      <c r="B28" s="29" t="s">
        <v>5423</v>
      </c>
      <c r="C28" s="29" t="s">
        <v>432</v>
      </c>
      <c r="D28" s="29" t="s">
        <v>5137</v>
      </c>
      <c r="E28" s="29" t="s">
        <v>5138</v>
      </c>
      <c r="F28" s="30"/>
      <c r="G28" s="29" t="s">
        <v>450</v>
      </c>
      <c r="H28" s="29" t="s">
        <v>1157</v>
      </c>
      <c r="I28" s="29" t="s">
        <v>407</v>
      </c>
      <c r="J28" s="30"/>
      <c r="K28" s="29" t="s">
        <v>2527</v>
      </c>
      <c r="L28" s="29" t="s">
        <v>484</v>
      </c>
      <c r="M28" s="29" t="s">
        <v>5424</v>
      </c>
      <c r="N28" s="29"/>
      <c r="O28" s="29"/>
      <c r="P28" s="29" t="s">
        <v>5425</v>
      </c>
    </row>
    <row r="29">
      <c r="A29" s="28">
        <v>1793.0</v>
      </c>
      <c r="B29" s="29" t="s">
        <v>5426</v>
      </c>
      <c r="C29" s="29" t="s">
        <v>432</v>
      </c>
      <c r="D29" s="29" t="s">
        <v>5137</v>
      </c>
      <c r="E29" s="29" t="s">
        <v>5138</v>
      </c>
      <c r="F29" s="30"/>
      <c r="G29" s="29" t="s">
        <v>433</v>
      </c>
      <c r="H29" s="29" t="s">
        <v>434</v>
      </c>
      <c r="I29" s="29" t="s">
        <v>144</v>
      </c>
      <c r="J29" s="30"/>
      <c r="K29" s="29" t="s">
        <v>5427</v>
      </c>
      <c r="L29" s="29" t="s">
        <v>5428</v>
      </c>
      <c r="M29" s="29" t="s">
        <v>5429</v>
      </c>
      <c r="N29" s="29"/>
      <c r="O29" s="29"/>
      <c r="P29" s="29" t="s">
        <v>5430</v>
      </c>
    </row>
    <row r="30">
      <c r="A30" s="28">
        <v>1794.0</v>
      </c>
      <c r="B30" s="29" t="s">
        <v>5431</v>
      </c>
      <c r="C30" s="29" t="s">
        <v>432</v>
      </c>
      <c r="D30" s="29" t="s">
        <v>5137</v>
      </c>
      <c r="E30" s="29" t="s">
        <v>5138</v>
      </c>
      <c r="F30" s="30"/>
      <c r="G30" s="29" t="s">
        <v>441</v>
      </c>
      <c r="H30" s="29" t="s">
        <v>5432</v>
      </c>
      <c r="I30" s="29" t="s">
        <v>850</v>
      </c>
      <c r="J30" s="30"/>
      <c r="K30" s="29" t="s">
        <v>5433</v>
      </c>
      <c r="L30" s="29" t="s">
        <v>465</v>
      </c>
      <c r="M30" s="29" t="s">
        <v>5434</v>
      </c>
      <c r="N30" s="29"/>
      <c r="O30" s="29"/>
      <c r="P30" s="29" t="s">
        <v>5435</v>
      </c>
    </row>
    <row r="31">
      <c r="A31" s="28">
        <v>1798.0</v>
      </c>
      <c r="B31" s="29" t="s">
        <v>5436</v>
      </c>
      <c r="C31" s="29" t="s">
        <v>449</v>
      </c>
      <c r="D31" s="29" t="s">
        <v>5137</v>
      </c>
      <c r="E31" s="29" t="s">
        <v>5138</v>
      </c>
      <c r="F31" s="30"/>
      <c r="G31" s="29" t="s">
        <v>441</v>
      </c>
      <c r="H31" s="29" t="s">
        <v>434</v>
      </c>
      <c r="I31" s="29" t="s">
        <v>41</v>
      </c>
      <c r="J31" s="30"/>
      <c r="K31" s="29" t="s">
        <v>493</v>
      </c>
      <c r="L31" s="29" t="s">
        <v>5437</v>
      </c>
      <c r="M31" s="29" t="s">
        <v>5438</v>
      </c>
      <c r="N31" s="29"/>
      <c r="O31" s="29"/>
      <c r="P31" s="29" t="s">
        <v>5439</v>
      </c>
    </row>
    <row r="32">
      <c r="A32" s="28">
        <v>1799.0</v>
      </c>
      <c r="B32" s="29" t="s">
        <v>5440</v>
      </c>
      <c r="C32" s="29" t="s">
        <v>432</v>
      </c>
      <c r="D32" s="29" t="s">
        <v>5137</v>
      </c>
      <c r="E32" s="29" t="s">
        <v>5138</v>
      </c>
      <c r="F32" s="30"/>
      <c r="G32" s="29" t="s">
        <v>450</v>
      </c>
      <c r="H32" s="29" t="s">
        <v>5441</v>
      </c>
      <c r="I32" s="29" t="s">
        <v>850</v>
      </c>
      <c r="J32" s="30"/>
      <c r="K32" s="29" t="s">
        <v>649</v>
      </c>
      <c r="L32" s="29" t="s">
        <v>465</v>
      </c>
      <c r="M32" s="29" t="s">
        <v>5442</v>
      </c>
      <c r="N32" s="29"/>
      <c r="O32" s="29"/>
      <c r="P32" s="29" t="s">
        <v>5443</v>
      </c>
    </row>
    <row r="33">
      <c r="A33" s="28">
        <v>1803.0</v>
      </c>
      <c r="B33" s="29" t="s">
        <v>5444</v>
      </c>
      <c r="C33" s="29" t="s">
        <v>432</v>
      </c>
      <c r="D33" s="29" t="s">
        <v>5137</v>
      </c>
      <c r="E33" s="29" t="s">
        <v>5138</v>
      </c>
      <c r="F33" s="30"/>
      <c r="G33" s="29" t="s">
        <v>441</v>
      </c>
      <c r="H33" s="29" t="s">
        <v>634</v>
      </c>
      <c r="I33" s="29" t="s">
        <v>850</v>
      </c>
      <c r="J33" s="30"/>
      <c r="K33" s="29" t="s">
        <v>3026</v>
      </c>
      <c r="L33" s="29" t="s">
        <v>522</v>
      </c>
      <c r="M33" s="29" t="s">
        <v>5445</v>
      </c>
      <c r="N33" s="29"/>
      <c r="O33" s="29"/>
      <c r="P33" s="29" t="s">
        <v>5446</v>
      </c>
    </row>
    <row r="34">
      <c r="A34" s="28">
        <v>8277.0</v>
      </c>
      <c r="B34" s="29" t="s">
        <v>5447</v>
      </c>
      <c r="C34" s="29" t="s">
        <v>432</v>
      </c>
      <c r="D34" s="29" t="s">
        <v>5137</v>
      </c>
      <c r="E34" s="29" t="s">
        <v>5138</v>
      </c>
      <c r="F34" s="30"/>
      <c r="G34" s="29" t="s">
        <v>441</v>
      </c>
      <c r="H34" s="29" t="s">
        <v>592</v>
      </c>
      <c r="I34" s="29" t="s">
        <v>407</v>
      </c>
      <c r="J34" s="30"/>
      <c r="K34" s="29" t="s">
        <v>643</v>
      </c>
      <c r="L34" s="29" t="s">
        <v>489</v>
      </c>
      <c r="M34" s="29" t="s">
        <v>5448</v>
      </c>
      <c r="N34" s="29"/>
      <c r="O34" s="29"/>
      <c r="P34" s="29" t="s">
        <v>5449</v>
      </c>
    </row>
    <row r="35">
      <c r="A35" s="28">
        <v>9697.0</v>
      </c>
      <c r="B35" s="29" t="s">
        <v>5450</v>
      </c>
      <c r="C35" s="29" t="s">
        <v>432</v>
      </c>
      <c r="D35" s="29" t="s">
        <v>5137</v>
      </c>
      <c r="E35" s="29" t="s">
        <v>5138</v>
      </c>
      <c r="F35" s="30"/>
      <c r="G35" s="29" t="s">
        <v>433</v>
      </c>
      <c r="H35" s="29" t="s">
        <v>5451</v>
      </c>
      <c r="I35" s="29" t="s">
        <v>3523</v>
      </c>
      <c r="J35" s="29" t="s">
        <v>5452</v>
      </c>
      <c r="K35" s="29" t="s">
        <v>5453</v>
      </c>
      <c r="L35" s="29" t="s">
        <v>5454</v>
      </c>
      <c r="M35" s="29" t="s">
        <v>5455</v>
      </c>
      <c r="N35" s="29"/>
      <c r="O35" s="29"/>
      <c r="P35" s="29" t="s">
        <v>5456</v>
      </c>
    </row>
    <row r="36">
      <c r="A36" s="28">
        <v>10072.0</v>
      </c>
      <c r="B36" s="29" t="s">
        <v>5457</v>
      </c>
      <c r="C36" s="29" t="s">
        <v>432</v>
      </c>
      <c r="D36" s="29" t="s">
        <v>5137</v>
      </c>
      <c r="E36" s="29" t="s">
        <v>5138</v>
      </c>
      <c r="F36" s="30"/>
      <c r="G36" s="29" t="s">
        <v>3123</v>
      </c>
      <c r="H36" s="29" t="s">
        <v>434</v>
      </c>
      <c r="I36" s="29" t="s">
        <v>368</v>
      </c>
      <c r="J36" s="30"/>
      <c r="K36" s="29" t="s">
        <v>5458</v>
      </c>
      <c r="L36" s="29" t="s">
        <v>511</v>
      </c>
      <c r="M36" s="29" t="s">
        <v>5459</v>
      </c>
      <c r="N36" s="29"/>
      <c r="O36" s="29"/>
      <c r="P36" s="29" t="s">
        <v>5460</v>
      </c>
    </row>
    <row r="37">
      <c r="A37" s="28">
        <v>4845.0</v>
      </c>
      <c r="B37" s="29" t="s">
        <v>5461</v>
      </c>
      <c r="C37" s="29" t="s">
        <v>432</v>
      </c>
      <c r="D37" s="29" t="s">
        <v>5226</v>
      </c>
      <c r="E37" s="29" t="s">
        <v>5227</v>
      </c>
      <c r="F37" s="30"/>
      <c r="G37" s="29" t="s">
        <v>433</v>
      </c>
      <c r="H37" s="29" t="s">
        <v>434</v>
      </c>
      <c r="I37" s="29" t="s">
        <v>407</v>
      </c>
      <c r="J37" s="30"/>
      <c r="K37" s="29" t="s">
        <v>653</v>
      </c>
      <c r="L37" s="29" t="s">
        <v>4150</v>
      </c>
      <c r="M37" s="29" t="s">
        <v>5462</v>
      </c>
      <c r="N37" s="29"/>
      <c r="O37" s="29"/>
      <c r="P37" s="29" t="s">
        <v>5463</v>
      </c>
    </row>
    <row r="38">
      <c r="A38" s="28">
        <v>8530.0</v>
      </c>
      <c r="B38" s="29" t="s">
        <v>5464</v>
      </c>
      <c r="C38" s="29" t="s">
        <v>432</v>
      </c>
      <c r="D38" s="29" t="s">
        <v>3897</v>
      </c>
      <c r="E38" s="29" t="s">
        <v>3898</v>
      </c>
      <c r="F38" s="30"/>
      <c r="G38" s="29" t="s">
        <v>433</v>
      </c>
      <c r="H38" s="29" t="s">
        <v>634</v>
      </c>
      <c r="I38" s="29" t="s">
        <v>144</v>
      </c>
      <c r="J38" s="30"/>
      <c r="K38" s="29" t="s">
        <v>5465</v>
      </c>
      <c r="L38" s="29" t="s">
        <v>4853</v>
      </c>
      <c r="M38" s="29" t="s">
        <v>5466</v>
      </c>
      <c r="N38" s="29"/>
      <c r="O38" s="29"/>
      <c r="P38" s="29" t="s">
        <v>5467</v>
      </c>
    </row>
    <row r="39">
      <c r="A39" s="28">
        <v>8597.0</v>
      </c>
      <c r="B39" s="29" t="s">
        <v>5468</v>
      </c>
      <c r="C39" s="29" t="s">
        <v>432</v>
      </c>
      <c r="D39" s="29" t="s">
        <v>1037</v>
      </c>
      <c r="E39" s="29" t="s">
        <v>1038</v>
      </c>
      <c r="F39" s="30"/>
      <c r="G39" s="29" t="s">
        <v>441</v>
      </c>
      <c r="H39" s="30"/>
      <c r="I39" s="29" t="s">
        <v>435</v>
      </c>
      <c r="J39" s="30"/>
      <c r="K39" s="29" t="s">
        <v>537</v>
      </c>
      <c r="L39" s="29" t="s">
        <v>489</v>
      </c>
      <c r="M39" s="29" t="s">
        <v>5469</v>
      </c>
      <c r="N39" s="29"/>
      <c r="O39" s="29"/>
      <c r="P39" s="29" t="s">
        <v>5470</v>
      </c>
    </row>
    <row r="40">
      <c r="A40" s="28">
        <v>8598.0</v>
      </c>
      <c r="B40" s="29" t="s">
        <v>5471</v>
      </c>
      <c r="C40" s="29" t="s">
        <v>449</v>
      </c>
      <c r="D40" s="29" t="s">
        <v>1037</v>
      </c>
      <c r="E40" s="29" t="s">
        <v>1038</v>
      </c>
      <c r="F40" s="30"/>
      <c r="G40" s="29" t="s">
        <v>441</v>
      </c>
      <c r="H40" s="29" t="s">
        <v>3036</v>
      </c>
      <c r="I40" s="29" t="s">
        <v>41</v>
      </c>
      <c r="J40" s="30"/>
      <c r="K40" s="29" t="s">
        <v>527</v>
      </c>
      <c r="L40" s="29" t="s">
        <v>5472</v>
      </c>
      <c r="M40" s="29" t="s">
        <v>5473</v>
      </c>
      <c r="N40" s="29"/>
      <c r="O40" s="29"/>
      <c r="P40" s="29" t="s">
        <v>5474</v>
      </c>
    </row>
    <row r="41">
      <c r="A41" s="28">
        <v>8548.0</v>
      </c>
      <c r="B41" s="29" t="s">
        <v>5475</v>
      </c>
      <c r="C41" s="29" t="s">
        <v>432</v>
      </c>
      <c r="D41" s="29" t="s">
        <v>2073</v>
      </c>
      <c r="E41" s="29" t="s">
        <v>2074</v>
      </c>
      <c r="F41" s="30"/>
      <c r="G41" s="29" t="s">
        <v>441</v>
      </c>
      <c r="H41" s="29" t="s">
        <v>434</v>
      </c>
      <c r="I41" s="29" t="s">
        <v>144</v>
      </c>
      <c r="J41" s="30"/>
      <c r="K41" s="29" t="s">
        <v>476</v>
      </c>
      <c r="L41" s="29" t="s">
        <v>5476</v>
      </c>
      <c r="M41" s="29" t="s">
        <v>5477</v>
      </c>
      <c r="N41" s="29"/>
      <c r="O41" s="29"/>
      <c r="P41" s="29" t="s">
        <v>5478</v>
      </c>
    </row>
    <row r="42">
      <c r="A42" s="28">
        <v>8620.0</v>
      </c>
      <c r="B42" s="29" t="s">
        <v>5479</v>
      </c>
      <c r="C42" s="29" t="s">
        <v>449</v>
      </c>
      <c r="D42" s="29" t="s">
        <v>2205</v>
      </c>
      <c r="E42" s="29" t="s">
        <v>2206</v>
      </c>
      <c r="F42" s="30"/>
      <c r="G42" s="29" t="s">
        <v>441</v>
      </c>
      <c r="H42" s="29" t="s">
        <v>434</v>
      </c>
      <c r="I42" s="29" t="s">
        <v>41</v>
      </c>
      <c r="J42" s="30"/>
      <c r="K42" s="29" t="s">
        <v>659</v>
      </c>
      <c r="L42" s="29" t="s">
        <v>459</v>
      </c>
      <c r="M42" s="29" t="s">
        <v>5480</v>
      </c>
      <c r="N42" s="29"/>
      <c r="O42" s="29"/>
      <c r="P42" s="29" t="s">
        <v>5481</v>
      </c>
    </row>
    <row r="43">
      <c r="A43" s="28">
        <v>8581.0</v>
      </c>
      <c r="B43" s="29" t="s">
        <v>5482</v>
      </c>
      <c r="C43" s="29" t="s">
        <v>449</v>
      </c>
      <c r="D43" s="29" t="s">
        <v>2237</v>
      </c>
      <c r="E43" s="29" t="s">
        <v>2238</v>
      </c>
      <c r="F43" s="30"/>
      <c r="G43" s="29" t="s">
        <v>433</v>
      </c>
      <c r="H43" s="30"/>
      <c r="I43" s="29" t="s">
        <v>41</v>
      </c>
      <c r="J43" s="30"/>
      <c r="K43" s="29" t="s">
        <v>547</v>
      </c>
      <c r="L43" s="29" t="s">
        <v>511</v>
      </c>
      <c r="M43" s="29" t="s">
        <v>2409</v>
      </c>
      <c r="N43" s="29"/>
      <c r="O43" s="29"/>
      <c r="P43" s="29" t="s">
        <v>5483</v>
      </c>
    </row>
    <row r="44">
      <c r="A44" s="28">
        <v>8624.0</v>
      </c>
      <c r="B44" s="29" t="s">
        <v>5265</v>
      </c>
      <c r="C44" s="29" t="s">
        <v>432</v>
      </c>
      <c r="D44" s="29" t="s">
        <v>3150</v>
      </c>
      <c r="E44" s="29" t="s">
        <v>3151</v>
      </c>
      <c r="F44" s="30"/>
      <c r="G44" s="29" t="s">
        <v>441</v>
      </c>
      <c r="H44" s="29" t="s">
        <v>434</v>
      </c>
      <c r="I44" s="29" t="s">
        <v>407</v>
      </c>
      <c r="J44" s="30"/>
      <c r="K44" s="29" t="s">
        <v>537</v>
      </c>
      <c r="L44" s="29" t="s">
        <v>489</v>
      </c>
      <c r="M44" s="29" t="s">
        <v>5484</v>
      </c>
      <c r="N44" s="29"/>
      <c r="O44" s="29"/>
      <c r="P44" s="29" t="s">
        <v>5485</v>
      </c>
    </row>
    <row r="45">
      <c r="A45" s="28">
        <v>8579.0</v>
      </c>
      <c r="B45" s="29" t="s">
        <v>5486</v>
      </c>
      <c r="C45" s="29" t="s">
        <v>432</v>
      </c>
      <c r="D45" s="29" t="s">
        <v>2642</v>
      </c>
      <c r="E45" s="29" t="s">
        <v>2643</v>
      </c>
      <c r="F45" s="29" t="s">
        <v>441</v>
      </c>
      <c r="G45" s="29" t="s">
        <v>441</v>
      </c>
      <c r="H45" s="29" t="s">
        <v>434</v>
      </c>
      <c r="I45" s="29" t="s">
        <v>2963</v>
      </c>
      <c r="J45" s="30"/>
      <c r="K45" s="29" t="s">
        <v>547</v>
      </c>
      <c r="L45" s="30"/>
      <c r="M45" s="29" t="s">
        <v>5487</v>
      </c>
      <c r="N45" s="29"/>
      <c r="O45" s="29"/>
      <c r="P45" s="29" t="s">
        <v>5488</v>
      </c>
    </row>
    <row r="46">
      <c r="A46" s="28">
        <v>8580.0</v>
      </c>
      <c r="B46" s="29" t="s">
        <v>5489</v>
      </c>
      <c r="C46" s="29" t="s">
        <v>449</v>
      </c>
      <c r="D46" s="29" t="s">
        <v>5275</v>
      </c>
      <c r="E46" s="29" t="s">
        <v>5276</v>
      </c>
      <c r="F46" s="30"/>
      <c r="G46" s="29" t="s">
        <v>450</v>
      </c>
      <c r="H46" s="30"/>
      <c r="I46" s="29" t="s">
        <v>41</v>
      </c>
      <c r="J46" s="30"/>
      <c r="K46" s="29" t="s">
        <v>2527</v>
      </c>
      <c r="L46" s="30"/>
      <c r="M46" s="29" t="s">
        <v>5490</v>
      </c>
      <c r="N46" s="29"/>
      <c r="O46" s="29"/>
      <c r="P46" s="29" t="s">
        <v>5491</v>
      </c>
    </row>
    <row r="47">
      <c r="A47" s="28">
        <v>8572.0</v>
      </c>
      <c r="B47" s="29" t="s">
        <v>5492</v>
      </c>
      <c r="C47" s="29" t="s">
        <v>432</v>
      </c>
      <c r="D47" s="29" t="s">
        <v>5283</v>
      </c>
      <c r="E47" s="29" t="s">
        <v>5284</v>
      </c>
      <c r="F47" s="30"/>
      <c r="G47" s="29" t="s">
        <v>433</v>
      </c>
      <c r="H47" s="29" t="s">
        <v>1105</v>
      </c>
      <c r="I47" s="29" t="s">
        <v>435</v>
      </c>
      <c r="J47" s="30"/>
      <c r="K47" s="29" t="s">
        <v>547</v>
      </c>
      <c r="L47" s="29" t="s">
        <v>511</v>
      </c>
      <c r="M47" s="29" t="s">
        <v>5493</v>
      </c>
      <c r="N47" s="29"/>
      <c r="O47" s="29"/>
      <c r="P47" s="29" t="s">
        <v>5494</v>
      </c>
    </row>
    <row r="48">
      <c r="A48" s="28">
        <v>8575.0</v>
      </c>
      <c r="B48" s="29" t="s">
        <v>5495</v>
      </c>
      <c r="C48" s="29" t="s">
        <v>432</v>
      </c>
      <c r="D48" s="29" t="s">
        <v>5283</v>
      </c>
      <c r="E48" s="29" t="s">
        <v>5284</v>
      </c>
      <c r="F48" s="30"/>
      <c r="G48" s="29" t="s">
        <v>433</v>
      </c>
      <c r="H48" s="29" t="s">
        <v>1105</v>
      </c>
      <c r="I48" s="29" t="s">
        <v>435</v>
      </c>
      <c r="J48" s="30"/>
      <c r="K48" s="29" t="s">
        <v>547</v>
      </c>
      <c r="L48" s="29" t="s">
        <v>511</v>
      </c>
      <c r="M48" s="29" t="s">
        <v>5496</v>
      </c>
      <c r="N48" s="29"/>
      <c r="O48" s="29"/>
      <c r="P48" s="29" t="s">
        <v>5497</v>
      </c>
    </row>
    <row r="49">
      <c r="A49" s="28">
        <v>8615.0</v>
      </c>
      <c r="B49" s="29" t="s">
        <v>5307</v>
      </c>
      <c r="C49" s="29" t="s">
        <v>449</v>
      </c>
      <c r="D49" s="29" t="s">
        <v>5303</v>
      </c>
      <c r="E49" s="29" t="s">
        <v>5304</v>
      </c>
      <c r="F49" s="30"/>
      <c r="G49" s="29" t="s">
        <v>441</v>
      </c>
      <c r="H49" s="29" t="s">
        <v>474</v>
      </c>
      <c r="I49" s="29" t="s">
        <v>41</v>
      </c>
      <c r="J49" s="30"/>
      <c r="K49" s="29" t="s">
        <v>1141</v>
      </c>
      <c r="L49" s="29" t="s">
        <v>489</v>
      </c>
      <c r="M49" s="29" t="s">
        <v>5498</v>
      </c>
      <c r="N49" s="29"/>
      <c r="O49" s="29"/>
      <c r="P49" s="29" t="s">
        <v>5499</v>
      </c>
    </row>
    <row r="50">
      <c r="A50" s="28">
        <v>8606.0</v>
      </c>
      <c r="B50" s="29" t="s">
        <v>5500</v>
      </c>
      <c r="C50" s="29" t="s">
        <v>432</v>
      </c>
      <c r="D50" s="29" t="s">
        <v>5310</v>
      </c>
      <c r="E50" s="29" t="s">
        <v>5311</v>
      </c>
      <c r="F50" s="30"/>
      <c r="G50" s="29" t="s">
        <v>433</v>
      </c>
      <c r="H50" s="29" t="s">
        <v>5501</v>
      </c>
      <c r="I50" s="29" t="s">
        <v>217</v>
      </c>
      <c r="J50" s="30"/>
      <c r="K50" s="29" t="s">
        <v>5412</v>
      </c>
      <c r="L50" s="29" t="s">
        <v>5502</v>
      </c>
      <c r="M50" s="29" t="s">
        <v>5503</v>
      </c>
      <c r="N50" s="29"/>
      <c r="O50" s="29"/>
      <c r="P50" s="29" t="s">
        <v>5504</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5505</v>
      </c>
      <c r="P1" s="113"/>
      <c r="Q1" s="113"/>
    </row>
    <row r="2">
      <c r="A2" s="249">
        <v>8927.0</v>
      </c>
      <c r="B2" s="247" t="s">
        <v>5506</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5507</v>
      </c>
      <c r="K2" s="250" t="s">
        <v>5508</v>
      </c>
      <c r="L2" s="113" t="s">
        <v>5509</v>
      </c>
      <c r="M2" s="113"/>
      <c r="N2" s="113" t="s">
        <v>23</v>
      </c>
      <c r="O2" s="113"/>
      <c r="P2" s="113"/>
      <c r="Q2" s="113"/>
    </row>
    <row r="3">
      <c r="A3" s="249">
        <v>8927.0</v>
      </c>
      <c r="B3" s="247" t="s">
        <v>5510</v>
      </c>
      <c r="C3" s="113" t="str">
        <f>IFERROR(__xludf.DUMMYFUNCTION("GOOGLETRANSLATE(B3)"),"NUCLEAR ENERGY PROMOTION ACT")</f>
        <v>NUCLEAR ENERGY PROMOTION ACT</v>
      </c>
      <c r="D3" s="113" t="s">
        <v>2905</v>
      </c>
      <c r="E3" s="113" t="s">
        <v>2906</v>
      </c>
      <c r="F3" s="113" t="s">
        <v>45</v>
      </c>
      <c r="G3" s="249"/>
      <c r="H3" s="249">
        <v>2011.0</v>
      </c>
      <c r="I3" s="248" t="s">
        <v>24</v>
      </c>
      <c r="J3" s="113" t="s">
        <v>5511</v>
      </c>
      <c r="K3" s="250" t="s">
        <v>5512</v>
      </c>
      <c r="L3" s="113" t="s">
        <v>5509</v>
      </c>
      <c r="M3" s="113"/>
      <c r="N3" s="113" t="s">
        <v>23</v>
      </c>
      <c r="O3" s="113"/>
      <c r="P3" s="113"/>
      <c r="Q3" s="113"/>
    </row>
    <row r="4">
      <c r="A4" s="249">
        <v>8945.0</v>
      </c>
      <c r="B4" s="247" t="s">
        <v>5513</v>
      </c>
      <c r="C4" s="113" t="str">
        <f>IFERROR(__xludf.DUMMYFUNCTION("GOOGLETRANSLATE(B4)"),"STORM AND FLOOD INSURANCE ACT")</f>
        <v>STORM AND FLOOD INSURANCE ACT</v>
      </c>
      <c r="D4" s="113" t="s">
        <v>2905</v>
      </c>
      <c r="E4" s="113" t="s">
        <v>2906</v>
      </c>
      <c r="F4" s="113" t="s">
        <v>45</v>
      </c>
      <c r="G4" s="249"/>
      <c r="H4" s="249">
        <v>2006.0</v>
      </c>
      <c r="I4" s="248" t="s">
        <v>24</v>
      </c>
      <c r="J4" s="113" t="s">
        <v>5514</v>
      </c>
      <c r="K4" s="250" t="s">
        <v>5515</v>
      </c>
      <c r="L4" s="113" t="s">
        <v>5509</v>
      </c>
      <c r="M4" s="113"/>
      <c r="N4" s="113" t="s">
        <v>23</v>
      </c>
      <c r="O4" s="113"/>
      <c r="P4" s="113"/>
      <c r="Q4" s="113"/>
    </row>
    <row r="5">
      <c r="A5" s="249">
        <v>8945.0</v>
      </c>
      <c r="B5" s="251" t="s">
        <v>5516</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5517</v>
      </c>
      <c r="K5" s="250" t="s">
        <v>5518</v>
      </c>
      <c r="L5" s="113" t="s">
        <v>5509</v>
      </c>
      <c r="M5" s="113"/>
      <c r="N5" s="113" t="s">
        <v>275</v>
      </c>
      <c r="O5" s="113"/>
      <c r="P5" s="113"/>
      <c r="Q5" s="113"/>
    </row>
    <row r="6">
      <c r="A6" s="249">
        <v>10032.0</v>
      </c>
      <c r="B6" s="247" t="s">
        <v>5519</v>
      </c>
      <c r="C6" s="113" t="str">
        <f>IFERROR(__xludf.DUMMYFUNCTION("GOOGLETRANSLATE(B6)"),"The Korean New Deal")</f>
        <v>The Korean New Deal</v>
      </c>
      <c r="D6" s="113" t="s">
        <v>2905</v>
      </c>
      <c r="E6" s="113" t="s">
        <v>2906</v>
      </c>
      <c r="F6" s="113" t="s">
        <v>144</v>
      </c>
      <c r="G6" s="249"/>
      <c r="H6" s="249">
        <v>2020.0</v>
      </c>
      <c r="I6" s="113" t="s">
        <v>24</v>
      </c>
      <c r="J6" s="250" t="s">
        <v>5520</v>
      </c>
      <c r="K6" s="250" t="s">
        <v>5521</v>
      </c>
      <c r="L6" s="113" t="s">
        <v>5509</v>
      </c>
      <c r="M6" s="113"/>
      <c r="N6" s="252" t="s">
        <v>229</v>
      </c>
      <c r="O6" s="113"/>
      <c r="P6" s="113"/>
      <c r="Q6" s="113"/>
    </row>
    <row r="7">
      <c r="A7" s="249">
        <v>10032.0</v>
      </c>
      <c r="B7" s="247" t="s">
        <v>5519</v>
      </c>
      <c r="C7" s="113" t="str">
        <f>IFERROR(__xludf.DUMMYFUNCTION("GOOGLETRANSLATE(B7)"),"The Korean New Deal")</f>
        <v>The Korean New Deal</v>
      </c>
      <c r="D7" s="113" t="s">
        <v>2905</v>
      </c>
      <c r="E7" s="113" t="s">
        <v>2906</v>
      </c>
      <c r="F7" s="113" t="s">
        <v>144</v>
      </c>
      <c r="G7" s="249"/>
      <c r="H7" s="249">
        <v>2020.0</v>
      </c>
      <c r="I7" s="248" t="s">
        <v>24</v>
      </c>
      <c r="J7" s="113" t="s">
        <v>5522</v>
      </c>
      <c r="K7" s="250" t="s">
        <v>5523</v>
      </c>
      <c r="L7" s="113" t="s">
        <v>5509</v>
      </c>
      <c r="M7" s="113"/>
      <c r="N7" s="113" t="s">
        <v>23</v>
      </c>
      <c r="O7" s="113"/>
      <c r="P7" s="113"/>
      <c r="Q7" s="113"/>
    </row>
    <row r="8">
      <c r="A8" s="249">
        <v>10466.0</v>
      </c>
      <c r="B8" s="247" t="s">
        <v>5524</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5525</v>
      </c>
      <c r="K8" s="250" t="s">
        <v>5526</v>
      </c>
      <c r="L8" s="113" t="s">
        <v>5509</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5527</v>
      </c>
      <c r="K9" s="257" t="s">
        <v>5528</v>
      </c>
      <c r="L9" s="255" t="s">
        <v>5509</v>
      </c>
      <c r="M9" s="255"/>
      <c r="N9" s="255" t="s">
        <v>37</v>
      </c>
      <c r="O9" s="255"/>
      <c r="P9" s="255"/>
      <c r="Q9" s="255"/>
      <c r="R9" s="3"/>
      <c r="S9" s="3"/>
      <c r="T9" s="3"/>
      <c r="U9" s="3"/>
      <c r="V9" s="3"/>
      <c r="W9" s="3"/>
      <c r="X9" s="3"/>
      <c r="Y9" s="3"/>
      <c r="Z9" s="3"/>
      <c r="AA9" s="3"/>
      <c r="AB9" s="3"/>
    </row>
    <row r="10">
      <c r="A10" s="249">
        <v>10467.0</v>
      </c>
      <c r="B10" s="247" t="s">
        <v>5529</v>
      </c>
      <c r="C10" s="113" t="str">
        <f>IFERROR(__xludf.DUMMYFUNCTION("GOOGLETRANSLATE(B10)"),"2050 carbon neutral scenario")</f>
        <v>2050 carbon neutral scenario</v>
      </c>
      <c r="D10" s="113" t="s">
        <v>2905</v>
      </c>
      <c r="E10" s="113" t="s">
        <v>2906</v>
      </c>
      <c r="F10" s="248" t="s">
        <v>2329</v>
      </c>
      <c r="G10" s="249"/>
      <c r="H10" s="249">
        <v>2021.0</v>
      </c>
      <c r="I10" s="248" t="s">
        <v>2910</v>
      </c>
      <c r="J10" s="113" t="s">
        <v>5530</v>
      </c>
      <c r="K10" s="250" t="s">
        <v>5531</v>
      </c>
      <c r="L10" s="113" t="s">
        <v>5509</v>
      </c>
      <c r="M10" s="113"/>
      <c r="N10" s="113" t="s">
        <v>23</v>
      </c>
      <c r="O10" s="113"/>
      <c r="P10" s="113"/>
      <c r="Q10" s="113"/>
    </row>
    <row r="11">
      <c r="A11" s="249">
        <v>10467.0</v>
      </c>
      <c r="B11" s="247" t="s">
        <v>5532</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5533</v>
      </c>
      <c r="K11" s="250" t="s">
        <v>5534</v>
      </c>
      <c r="L11" s="113" t="s">
        <v>5509</v>
      </c>
      <c r="M11" s="113"/>
      <c r="N11" s="113" t="s">
        <v>23</v>
      </c>
      <c r="O11" s="113"/>
      <c r="P11" s="113"/>
      <c r="Q11" s="113"/>
    </row>
    <row r="12">
      <c r="A12" s="249">
        <v>1669.0</v>
      </c>
      <c r="B12" s="247" t="s">
        <v>5535</v>
      </c>
      <c r="C12" s="113" t="str">
        <f>IFERROR(__xludf.DUMMYFUNCTION("GOOGLETRANSLATE(B12)"),"Law 2/2011, of March 4, of Sustainable Economics")</f>
        <v>Law 2/2011, of March 4, of Sustainable Economics</v>
      </c>
      <c r="D12" s="113" t="s">
        <v>5283</v>
      </c>
      <c r="E12" s="113" t="s">
        <v>5284</v>
      </c>
      <c r="F12" s="113" t="s">
        <v>41</v>
      </c>
      <c r="G12" s="249"/>
      <c r="H12" s="249">
        <v>2011.0</v>
      </c>
      <c r="I12" s="248" t="s">
        <v>924</v>
      </c>
      <c r="J12" s="113" t="s">
        <v>5536</v>
      </c>
      <c r="K12" s="250" t="s">
        <v>5537</v>
      </c>
      <c r="L12" s="113" t="s">
        <v>5509</v>
      </c>
      <c r="M12" s="113"/>
      <c r="N12" s="113" t="s">
        <v>23</v>
      </c>
      <c r="O12" s="113"/>
      <c r="P12" s="113"/>
      <c r="Q12" s="113"/>
    </row>
    <row r="13">
      <c r="A13" s="249">
        <v>1669.0</v>
      </c>
      <c r="B13" s="247" t="s">
        <v>5538</v>
      </c>
      <c r="C13" s="113" t="str">
        <f>IFERROR(__xludf.DUMMYFUNCTION("GOOGLETRANSLATE(B13)"),"STATE OFFICIAL NEWSLETTER")</f>
        <v>STATE OFFICIAL NEWSLETTER</v>
      </c>
      <c r="D13" s="113" t="s">
        <v>5283</v>
      </c>
      <c r="E13" s="113" t="s">
        <v>5284</v>
      </c>
      <c r="F13" s="113" t="s">
        <v>5539</v>
      </c>
      <c r="G13" s="249"/>
      <c r="H13" s="249">
        <v>2015.0</v>
      </c>
      <c r="I13" s="248" t="s">
        <v>924</v>
      </c>
      <c r="J13" s="113" t="s">
        <v>5540</v>
      </c>
      <c r="K13" s="250" t="s">
        <v>5541</v>
      </c>
      <c r="L13" s="113" t="s">
        <v>5509</v>
      </c>
      <c r="M13" s="113"/>
      <c r="N13" s="113" t="s">
        <v>23</v>
      </c>
      <c r="O13" s="113"/>
      <c r="P13" s="113"/>
      <c r="Q13" s="113"/>
    </row>
    <row r="14">
      <c r="A14" s="249">
        <v>1674.0</v>
      </c>
      <c r="B14" s="247" t="s">
        <v>5542</v>
      </c>
      <c r="C14" s="113" t="str">
        <f>IFERROR(__xludf.DUMMYFUNCTION("GOOGLETRANSLATE(B14)"),"SPANISH CLIMATE CHANGE AND CLEAN ENERGY STRATEGY HORIZON 2007- 2012 -2020")</f>
        <v>SPANISH CLIMATE CHANGE AND CLEAN ENERGY STRATEGY HORIZON 2007- 2012 -2020</v>
      </c>
      <c r="D14" s="113" t="s">
        <v>5283</v>
      </c>
      <c r="E14" s="113" t="s">
        <v>5284</v>
      </c>
      <c r="F14" s="113" t="s">
        <v>144</v>
      </c>
      <c r="G14" s="249"/>
      <c r="H14" s="249">
        <v>2007.0</v>
      </c>
      <c r="I14" s="248" t="s">
        <v>24</v>
      </c>
      <c r="J14" s="113" t="s">
        <v>5543</v>
      </c>
      <c r="K14" s="250" t="s">
        <v>5544</v>
      </c>
      <c r="L14" s="113" t="s">
        <v>5509</v>
      </c>
      <c r="M14" s="113"/>
      <c r="N14" s="113" t="s">
        <v>23</v>
      </c>
      <c r="O14" s="113"/>
      <c r="P14" s="113"/>
      <c r="Q14" s="113"/>
    </row>
    <row r="15">
      <c r="A15" s="249">
        <v>1674.0</v>
      </c>
      <c r="B15" s="247" t="s">
        <v>5545</v>
      </c>
      <c r="C15" s="113" t="str">
        <f>IFERROR(__xludf.DUMMYFUNCTION("GOOGLETRANSLATE(B15)"),"Spanish Climate Change Strategy and Clean Energy Horizon 2007-202020")</f>
        <v>Spanish Climate Change Strategy and Clean Energy Horizon 2007-202020</v>
      </c>
      <c r="D15" s="113" t="s">
        <v>5283</v>
      </c>
      <c r="E15" s="113" t="s">
        <v>5284</v>
      </c>
      <c r="F15" s="113" t="s">
        <v>144</v>
      </c>
      <c r="G15" s="249"/>
      <c r="H15" s="249">
        <v>2007.0</v>
      </c>
      <c r="I15" s="248" t="s">
        <v>924</v>
      </c>
      <c r="J15" s="113" t="s">
        <v>5546</v>
      </c>
      <c r="K15" s="250" t="s">
        <v>5547</v>
      </c>
      <c r="L15" s="113" t="s">
        <v>5509</v>
      </c>
      <c r="M15" s="113"/>
      <c r="N15" s="113" t="s">
        <v>23</v>
      </c>
      <c r="O15" s="113"/>
      <c r="P15" s="113"/>
      <c r="Q15" s="113"/>
    </row>
    <row r="16">
      <c r="A16" s="249">
        <v>8573.0</v>
      </c>
      <c r="B16" s="258" t="s">
        <v>5548</v>
      </c>
      <c r="C16" s="113" t="str">
        <f>IFERROR(__xludf.DUMMYFUNCTION("GOOGLETRANSLATE(B16)"),"Royal Decree 177/1998, of February 16, which creates the National Climate Council.")</f>
        <v>Royal Decree 177/1998, of February 16, which creates the National Climate Council.</v>
      </c>
      <c r="D16" s="113" t="s">
        <v>5283</v>
      </c>
      <c r="E16" s="113" t="s">
        <v>5284</v>
      </c>
      <c r="F16" s="113" t="s">
        <v>18</v>
      </c>
      <c r="G16" s="249"/>
      <c r="H16" s="249">
        <v>1998.0</v>
      </c>
      <c r="I16" s="248" t="s">
        <v>924</v>
      </c>
      <c r="J16" s="250" t="s">
        <v>5549</v>
      </c>
      <c r="K16" s="250" t="s">
        <v>5550</v>
      </c>
      <c r="L16" s="113" t="s">
        <v>5509</v>
      </c>
      <c r="M16" s="113"/>
      <c r="N16" s="252" t="s">
        <v>326</v>
      </c>
      <c r="O16" s="113"/>
      <c r="P16" s="113"/>
      <c r="Q16" s="113"/>
    </row>
    <row r="17">
      <c r="A17" s="249">
        <v>8573.0</v>
      </c>
      <c r="B17" s="247" t="s">
        <v>5551</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5283</v>
      </c>
      <c r="E17" s="113" t="s">
        <v>5284</v>
      </c>
      <c r="F17" s="113" t="s">
        <v>18</v>
      </c>
      <c r="G17" s="249"/>
      <c r="H17" s="249">
        <v>2001.0</v>
      </c>
      <c r="I17" s="248" t="s">
        <v>924</v>
      </c>
      <c r="J17" s="113" t="s">
        <v>5552</v>
      </c>
      <c r="K17" s="250" t="s">
        <v>5553</v>
      </c>
      <c r="L17" s="113" t="s">
        <v>5509</v>
      </c>
      <c r="M17" s="113"/>
      <c r="N17" s="113" t="s">
        <v>23</v>
      </c>
      <c r="O17" s="113"/>
      <c r="P17" s="113"/>
      <c r="Q17" s="113"/>
    </row>
    <row r="18">
      <c r="A18" s="249">
        <v>8573.0</v>
      </c>
      <c r="B18" s="259" t="s">
        <v>5554</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5283</v>
      </c>
      <c r="E18" s="113" t="s">
        <v>5284</v>
      </c>
      <c r="F18" s="248" t="s">
        <v>18</v>
      </c>
      <c r="G18" s="248"/>
      <c r="H18" s="248">
        <v>2014.0</v>
      </c>
      <c r="I18" s="248" t="s">
        <v>924</v>
      </c>
      <c r="J18" s="113" t="s">
        <v>5555</v>
      </c>
      <c r="K18" s="250" t="s">
        <v>5556</v>
      </c>
      <c r="L18" s="113" t="s">
        <v>5509</v>
      </c>
      <c r="M18" s="113"/>
      <c r="N18" s="113" t="s">
        <v>23</v>
      </c>
      <c r="O18" s="113"/>
      <c r="P18" s="113"/>
      <c r="Q18" s="113"/>
    </row>
    <row r="19" hidden="1">
      <c r="A19" s="253">
        <v>8573.0</v>
      </c>
      <c r="B19" s="254"/>
      <c r="C19" s="255" t="str">
        <f>IFERROR(__xludf.DUMMYFUNCTION("GOOGLETRANSLATE(B19)"),"#VALUE!")</f>
        <v>#VALUE!</v>
      </c>
      <c r="D19" s="255" t="s">
        <v>5283</v>
      </c>
      <c r="E19" s="255" t="s">
        <v>5284</v>
      </c>
      <c r="F19" s="255"/>
      <c r="G19" s="255"/>
      <c r="H19" s="255"/>
      <c r="I19" s="255"/>
      <c r="J19" s="255" t="s">
        <v>5557</v>
      </c>
      <c r="K19" s="257" t="s">
        <v>5558</v>
      </c>
      <c r="L19" s="255" t="s">
        <v>5509</v>
      </c>
      <c r="M19" s="255"/>
      <c r="N19" s="260" t="s">
        <v>92</v>
      </c>
      <c r="O19" s="255"/>
      <c r="P19" s="255"/>
      <c r="Q19" s="255"/>
      <c r="R19" s="3"/>
      <c r="S19" s="3"/>
      <c r="T19" s="3"/>
      <c r="U19" s="3"/>
      <c r="V19" s="3"/>
      <c r="W19" s="3"/>
      <c r="X19" s="3"/>
      <c r="Y19" s="3"/>
      <c r="Z19" s="3"/>
      <c r="AA19" s="3"/>
      <c r="AB19" s="3"/>
    </row>
    <row r="20">
      <c r="A20" s="249">
        <v>8574.0</v>
      </c>
      <c r="B20" s="258" t="s">
        <v>5559</v>
      </c>
      <c r="C20" s="113" t="str">
        <f>IFERROR(__xludf.DUMMYFUNCTION("GOOGLETRANSLATE(B20)"),"Law 1/2005, of March 9, which regulates the regime of the trade of greenhouse gases emission.")</f>
        <v>Law 1/2005, of March 9, which regulates the regime of the trade of greenhouse gases emission.</v>
      </c>
      <c r="D20" s="113" t="s">
        <v>5283</v>
      </c>
      <c r="E20" s="113" t="s">
        <v>5284</v>
      </c>
      <c r="F20" s="113" t="s">
        <v>41</v>
      </c>
      <c r="G20" s="249"/>
      <c r="H20" s="249">
        <v>2005.0</v>
      </c>
      <c r="I20" s="248" t="s">
        <v>924</v>
      </c>
      <c r="J20" s="113" t="s">
        <v>5560</v>
      </c>
      <c r="K20" s="250" t="s">
        <v>5561</v>
      </c>
      <c r="L20" s="113" t="s">
        <v>5509</v>
      </c>
      <c r="M20" s="113"/>
      <c r="N20" s="252" t="s">
        <v>229</v>
      </c>
      <c r="O20" s="113"/>
      <c r="P20" s="113"/>
      <c r="Q20" s="113"/>
    </row>
    <row r="21">
      <c r="A21" s="249">
        <v>8574.0</v>
      </c>
      <c r="B21" s="247" t="s">
        <v>5562</v>
      </c>
      <c r="C21" s="113" t="str">
        <f>IFERROR(__xludf.DUMMYFUNCTION("GOOGLETRANSLATE(B21)"),"Real Decree 1315/2005")</f>
        <v>Real Decree 1315/2005</v>
      </c>
      <c r="D21" s="113" t="s">
        <v>5283</v>
      </c>
      <c r="E21" s="113" t="s">
        <v>5284</v>
      </c>
      <c r="F21" s="113" t="s">
        <v>18</v>
      </c>
      <c r="G21" s="249"/>
      <c r="H21" s="249">
        <v>2005.0</v>
      </c>
      <c r="I21" s="248" t="s">
        <v>924</v>
      </c>
      <c r="J21" s="113" t="s">
        <v>5563</v>
      </c>
      <c r="K21" s="250" t="s">
        <v>5564</v>
      </c>
      <c r="L21" s="113" t="s">
        <v>5509</v>
      </c>
      <c r="M21" s="113"/>
      <c r="N21" s="113" t="s">
        <v>23</v>
      </c>
      <c r="O21" s="113"/>
      <c r="P21" s="113"/>
      <c r="Q21" s="113"/>
    </row>
    <row r="22">
      <c r="A22" s="249">
        <v>8574.0</v>
      </c>
      <c r="B22" s="247" t="s">
        <v>5565</v>
      </c>
      <c r="C22" s="113" t="str">
        <f>IFERROR(__xludf.DUMMYFUNCTION("GOOGLETRANSLATE(B22)"),"Real Decree 1264/2005")</f>
        <v>Real Decree 1264/2005</v>
      </c>
      <c r="D22" s="113" t="s">
        <v>5283</v>
      </c>
      <c r="E22" s="113" t="s">
        <v>5284</v>
      </c>
      <c r="F22" s="113" t="s">
        <v>18</v>
      </c>
      <c r="G22" s="249"/>
      <c r="H22" s="249">
        <v>2005.0</v>
      </c>
      <c r="I22" s="248" t="s">
        <v>924</v>
      </c>
      <c r="J22" s="113" t="s">
        <v>5566</v>
      </c>
      <c r="K22" s="250" t="s">
        <v>5567</v>
      </c>
      <c r="L22" s="113" t="s">
        <v>5509</v>
      </c>
      <c r="M22" s="113"/>
      <c r="N22" s="113" t="s">
        <v>23</v>
      </c>
      <c r="O22" s="113"/>
      <c r="P22" s="113"/>
      <c r="Q22" s="113"/>
    </row>
    <row r="23">
      <c r="A23" s="249">
        <v>8980.0</v>
      </c>
      <c r="B23" s="247" t="s">
        <v>5568</v>
      </c>
      <c r="C23" s="113" t="str">
        <f>IFERROR(__xludf.DUMMYFUNCTION("GOOGLETRANSLATE(B23)"),"National Action Program against Desertification")</f>
        <v>National Action Program against Desertification</v>
      </c>
      <c r="D23" s="113" t="s">
        <v>5283</v>
      </c>
      <c r="E23" s="113" t="s">
        <v>5284</v>
      </c>
      <c r="F23" s="113" t="s">
        <v>850</v>
      </c>
      <c r="G23" s="249"/>
      <c r="H23" s="249">
        <v>2008.0</v>
      </c>
      <c r="I23" s="248" t="s">
        <v>924</v>
      </c>
      <c r="J23" s="113" t="s">
        <v>5569</v>
      </c>
      <c r="K23" s="250" t="s">
        <v>5570</v>
      </c>
      <c r="L23" s="113" t="s">
        <v>5509</v>
      </c>
      <c r="M23" s="113"/>
      <c r="N23" s="113" t="s">
        <v>23</v>
      </c>
      <c r="O23" s="113"/>
      <c r="P23" s="113"/>
      <c r="Q23" s="113"/>
    </row>
    <row r="24">
      <c r="A24" s="249">
        <v>8980.0</v>
      </c>
      <c r="B24" s="247" t="s">
        <v>5571</v>
      </c>
      <c r="C24" s="113" t="str">
        <f>IFERROR(__xludf.DUMMYFUNCTION("GOOGLETRANSLATE(B24)"),"Order Arm/2444/2008")</f>
        <v>Order Arm/2444/2008</v>
      </c>
      <c r="D24" s="113" t="s">
        <v>5283</v>
      </c>
      <c r="E24" s="113" t="s">
        <v>5284</v>
      </c>
      <c r="F24" s="113" t="s">
        <v>1340</v>
      </c>
      <c r="G24" s="249"/>
      <c r="H24" s="249">
        <v>2008.0</v>
      </c>
      <c r="I24" s="248" t="s">
        <v>924</v>
      </c>
      <c r="J24" s="113" t="s">
        <v>5572</v>
      </c>
      <c r="K24" s="250" t="s">
        <v>5573</v>
      </c>
      <c r="L24" s="113" t="s">
        <v>5509</v>
      </c>
      <c r="M24" s="113"/>
      <c r="N24" s="113" t="s">
        <v>23</v>
      </c>
      <c r="O24" s="113"/>
      <c r="P24" s="113"/>
      <c r="Q24" s="113"/>
    </row>
    <row r="25">
      <c r="A25" s="249">
        <v>8994.0</v>
      </c>
      <c r="B25" s="247" t="s">
        <v>5574</v>
      </c>
      <c r="C25" s="113" t="str">
        <f>IFERROR(__xludf.DUMMYFUNCTION("GOOGLETRANSLATE(B25)"),"Law 45/2007, of December 13, for the sustainable development of the medium")</f>
        <v>Law 45/2007, of December 13, for the sustainable development of the medium</v>
      </c>
      <c r="D25" s="113" t="s">
        <v>5283</v>
      </c>
      <c r="E25" s="113" t="s">
        <v>5284</v>
      </c>
      <c r="F25" s="113" t="s">
        <v>41</v>
      </c>
      <c r="G25" s="249"/>
      <c r="H25" s="249">
        <v>2007.0</v>
      </c>
      <c r="I25" s="248" t="s">
        <v>924</v>
      </c>
      <c r="J25" s="113" t="s">
        <v>5575</v>
      </c>
      <c r="K25" s="250" t="s">
        <v>5576</v>
      </c>
      <c r="L25" s="113" t="s">
        <v>5509</v>
      </c>
      <c r="M25" s="113"/>
      <c r="N25" s="113" t="s">
        <v>23</v>
      </c>
      <c r="O25" s="113"/>
      <c r="P25" s="113"/>
      <c r="Q25" s="113"/>
    </row>
    <row r="26">
      <c r="A26" s="249">
        <v>8994.0</v>
      </c>
      <c r="B26" s="247" t="s">
        <v>5577</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5283</v>
      </c>
      <c r="E26" s="113" t="s">
        <v>5284</v>
      </c>
      <c r="F26" s="113" t="s">
        <v>18</v>
      </c>
      <c r="G26" s="249"/>
      <c r="H26" s="249">
        <v>2010.0</v>
      </c>
      <c r="I26" s="248" t="s">
        <v>924</v>
      </c>
      <c r="J26" s="113" t="s">
        <v>5578</v>
      </c>
      <c r="K26" s="250" t="s">
        <v>5579</v>
      </c>
      <c r="L26" s="113" t="s">
        <v>5509</v>
      </c>
      <c r="M26" s="113"/>
      <c r="N26" s="113" t="s">
        <v>23</v>
      </c>
      <c r="O26" s="113"/>
      <c r="P26" s="113"/>
      <c r="Q26" s="113"/>
    </row>
    <row r="27">
      <c r="A27" s="249">
        <v>9517.0</v>
      </c>
      <c r="B27" s="247" t="s">
        <v>5580</v>
      </c>
      <c r="C27" s="113" t="str">
        <f>IFERROR(__xludf.DUMMYFUNCTION("GOOGLETRANSLATE(B27)"),"INTEGRATED NATIONAL ENERGY AND CLIMATE PLAN 2021-2030")</f>
        <v>INTEGRATED NATIONAL ENERGY AND CLIMATE PLAN 2021-2030</v>
      </c>
      <c r="D27" s="113" t="s">
        <v>5283</v>
      </c>
      <c r="E27" s="113" t="s">
        <v>5284</v>
      </c>
      <c r="F27" s="113" t="s">
        <v>234</v>
      </c>
      <c r="G27" s="249"/>
      <c r="H27" s="249">
        <v>2020.0</v>
      </c>
      <c r="I27" s="248" t="s">
        <v>24</v>
      </c>
      <c r="J27" s="113" t="s">
        <v>5581</v>
      </c>
      <c r="K27" s="250" t="s">
        <v>5582</v>
      </c>
      <c r="L27" s="113" t="s">
        <v>5509</v>
      </c>
      <c r="M27" s="113"/>
      <c r="N27" s="113" t="s">
        <v>23</v>
      </c>
      <c r="O27" s="113"/>
      <c r="P27" s="113"/>
      <c r="Q27" s="113"/>
    </row>
    <row r="28">
      <c r="A28" s="249">
        <v>9517.0</v>
      </c>
      <c r="B28" s="247" t="s">
        <v>5583</v>
      </c>
      <c r="C28" s="113" t="str">
        <f>IFERROR(__xludf.DUMMYFUNCTION("GOOGLETRANSLATE(B28)"),"Integrated Energy and Climate Plan 2021-2030")</f>
        <v>Integrated Energy and Climate Plan 2021-2030</v>
      </c>
      <c r="D28" s="113" t="s">
        <v>5283</v>
      </c>
      <c r="E28" s="113" t="s">
        <v>5284</v>
      </c>
      <c r="F28" s="113" t="s">
        <v>234</v>
      </c>
      <c r="G28" s="249"/>
      <c r="H28" s="249">
        <v>2020.0</v>
      </c>
      <c r="I28" s="248" t="s">
        <v>924</v>
      </c>
      <c r="J28" s="113" t="s">
        <v>5584</v>
      </c>
      <c r="K28" s="250" t="s">
        <v>5585</v>
      </c>
      <c r="L28" s="113" t="s">
        <v>5509</v>
      </c>
      <c r="M28" s="113"/>
      <c r="N28" s="113" t="s">
        <v>37</v>
      </c>
      <c r="O28" s="113"/>
      <c r="P28" s="113"/>
      <c r="Q28" s="113"/>
    </row>
    <row r="29">
      <c r="A29" s="249">
        <v>9517.0</v>
      </c>
      <c r="B29" s="261" t="s">
        <v>5586</v>
      </c>
      <c r="C29" s="113" t="str">
        <f>IFERROR(__xludf.DUMMYFUNCTION("GOOGLETRANSLATE(B29)"),"National Plan for Climate Change Adaptation")</f>
        <v>National Plan for Climate Change Adaptation</v>
      </c>
      <c r="D29" s="113" t="s">
        <v>5283</v>
      </c>
      <c r="E29" s="113" t="s">
        <v>5284</v>
      </c>
      <c r="F29" s="248" t="s">
        <v>234</v>
      </c>
      <c r="G29" s="249"/>
      <c r="H29" s="249">
        <v>2020.0</v>
      </c>
      <c r="I29" s="248" t="s">
        <v>924</v>
      </c>
      <c r="J29" s="113" t="s">
        <v>5587</v>
      </c>
      <c r="K29" s="250" t="s">
        <v>5588</v>
      </c>
      <c r="L29" s="113" t="s">
        <v>5509</v>
      </c>
      <c r="M29" s="113"/>
      <c r="N29" s="252" t="s">
        <v>92</v>
      </c>
      <c r="O29" s="113"/>
      <c r="P29" s="113"/>
      <c r="Q29" s="113"/>
    </row>
    <row r="30">
      <c r="A30" s="249">
        <v>9517.0</v>
      </c>
      <c r="B30" s="261" t="s">
        <v>5586</v>
      </c>
      <c r="C30" s="113" t="str">
        <f>IFERROR(__xludf.DUMMYFUNCTION("GOOGLETRANSLATE(B30)"),"National Plan for Climate Change Adaptation")</f>
        <v>National Plan for Climate Change Adaptation</v>
      </c>
      <c r="D30" s="113" t="s">
        <v>5283</v>
      </c>
      <c r="E30" s="113" t="s">
        <v>5284</v>
      </c>
      <c r="F30" s="248" t="s">
        <v>234</v>
      </c>
      <c r="G30" s="249"/>
      <c r="H30" s="249">
        <v>2020.0</v>
      </c>
      <c r="I30" s="248" t="s">
        <v>924</v>
      </c>
      <c r="J30" s="113" t="s">
        <v>5589</v>
      </c>
      <c r="K30" s="250" t="s">
        <v>5590</v>
      </c>
      <c r="L30" s="113" t="s">
        <v>5509</v>
      </c>
      <c r="M30" s="113"/>
      <c r="N30" s="113" t="s">
        <v>23</v>
      </c>
      <c r="O30" s="113"/>
      <c r="P30" s="113"/>
      <c r="Q30" s="113"/>
    </row>
    <row r="31">
      <c r="A31" s="249">
        <v>9734.0</v>
      </c>
      <c r="B31" s="258" t="s">
        <v>5591</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5283</v>
      </c>
      <c r="E31" s="113" t="s">
        <v>5284</v>
      </c>
      <c r="F31" s="113" t="s">
        <v>18</v>
      </c>
      <c r="G31" s="249"/>
      <c r="H31" s="249">
        <v>2020.0</v>
      </c>
      <c r="I31" s="248" t="s">
        <v>924</v>
      </c>
      <c r="J31" s="250" t="s">
        <v>5592</v>
      </c>
      <c r="K31" s="250" t="s">
        <v>5593</v>
      </c>
      <c r="L31" s="113" t="s">
        <v>5509</v>
      </c>
      <c r="M31" s="113"/>
      <c r="N31" s="252" t="s">
        <v>326</v>
      </c>
      <c r="O31" s="113"/>
      <c r="P31" s="113"/>
      <c r="Q31" s="113"/>
    </row>
    <row r="32">
      <c r="A32" s="249">
        <v>9734.0</v>
      </c>
      <c r="B32" s="247" t="s">
        <v>5591</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5283</v>
      </c>
      <c r="E32" s="113" t="s">
        <v>5284</v>
      </c>
      <c r="F32" s="113" t="s">
        <v>18</v>
      </c>
      <c r="G32" s="249"/>
      <c r="H32" s="249">
        <v>2020.0</v>
      </c>
      <c r="I32" s="248" t="s">
        <v>924</v>
      </c>
      <c r="J32" s="113" t="s">
        <v>5594</v>
      </c>
      <c r="K32" s="250" t="s">
        <v>5595</v>
      </c>
      <c r="L32" s="113" t="s">
        <v>5509</v>
      </c>
      <c r="M32" s="113"/>
      <c r="N32" s="113" t="s">
        <v>23</v>
      </c>
      <c r="O32" s="113"/>
      <c r="P32" s="113"/>
      <c r="Q32" s="113"/>
    </row>
    <row r="33" hidden="1">
      <c r="A33" s="253">
        <v>9735.0</v>
      </c>
      <c r="B33" s="254"/>
      <c r="C33" s="255" t="str">
        <f>IFERROR(__xludf.DUMMYFUNCTION("GOOGLETRANSLATE(B33)"),"#VALUE!")</f>
        <v>#VALUE!</v>
      </c>
      <c r="D33" s="255" t="s">
        <v>5283</v>
      </c>
      <c r="E33" s="255" t="s">
        <v>5284</v>
      </c>
      <c r="F33" s="255"/>
      <c r="G33" s="255"/>
      <c r="H33" s="255"/>
      <c r="I33" s="255"/>
      <c r="J33" s="255" t="s">
        <v>5596</v>
      </c>
      <c r="K33" s="257" t="s">
        <v>5597</v>
      </c>
      <c r="L33" s="255" t="s">
        <v>5509</v>
      </c>
      <c r="M33" s="255"/>
      <c r="N33" s="255" t="s">
        <v>37</v>
      </c>
      <c r="O33" s="255"/>
      <c r="P33" s="255"/>
      <c r="Q33" s="255"/>
      <c r="R33" s="3"/>
      <c r="S33" s="3"/>
      <c r="T33" s="3"/>
      <c r="U33" s="3"/>
      <c r="V33" s="3"/>
      <c r="W33" s="3"/>
      <c r="X33" s="3"/>
      <c r="Y33" s="3"/>
      <c r="Z33" s="3"/>
      <c r="AA33" s="3"/>
      <c r="AB33" s="3"/>
    </row>
    <row r="34">
      <c r="A34" s="249">
        <v>9735.0</v>
      </c>
      <c r="B34" s="247" t="s">
        <v>5598</v>
      </c>
      <c r="C34" s="113" t="str">
        <f>IFERROR(__xludf.DUMMYFUNCTION("GOOGLETRANSLATE(B34)"),"Long -term strategy for energy rehabilitation in the building sector in Spain")</f>
        <v>Long -term strategy for energy rehabilitation in the building sector in Spain</v>
      </c>
      <c r="D34" s="113" t="s">
        <v>5283</v>
      </c>
      <c r="E34" s="113" t="s">
        <v>5284</v>
      </c>
      <c r="F34" s="113" t="s">
        <v>144</v>
      </c>
      <c r="G34" s="249"/>
      <c r="H34" s="249">
        <v>2020.0</v>
      </c>
      <c r="I34" s="248" t="s">
        <v>924</v>
      </c>
      <c r="J34" s="113" t="s">
        <v>5599</v>
      </c>
      <c r="K34" s="250" t="s">
        <v>5600</v>
      </c>
      <c r="L34" s="113" t="s">
        <v>5509</v>
      </c>
      <c r="M34" s="113"/>
      <c r="N34" s="252" t="s">
        <v>92</v>
      </c>
      <c r="O34" s="113"/>
      <c r="P34" s="113"/>
      <c r="Q34" s="113"/>
    </row>
    <row r="35" hidden="1">
      <c r="A35" s="253">
        <v>9756.0</v>
      </c>
      <c r="B35" s="254"/>
      <c r="C35" s="255" t="str">
        <f>IFERROR(__xludf.DUMMYFUNCTION("GOOGLETRANSLATE(B35)"),"#VALUE!")</f>
        <v>#VALUE!</v>
      </c>
      <c r="D35" s="255" t="s">
        <v>5283</v>
      </c>
      <c r="E35" s="255" t="s">
        <v>5284</v>
      </c>
      <c r="F35" s="255"/>
      <c r="G35" s="255"/>
      <c r="H35" s="255"/>
      <c r="I35" s="255"/>
      <c r="J35" s="255" t="s">
        <v>5601</v>
      </c>
      <c r="K35" s="257" t="s">
        <v>5602</v>
      </c>
      <c r="L35" s="255" t="s">
        <v>5509</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5283</v>
      </c>
      <c r="E36" s="255" t="s">
        <v>5284</v>
      </c>
      <c r="F36" s="255"/>
      <c r="G36" s="255"/>
      <c r="H36" s="255"/>
      <c r="I36" s="255"/>
      <c r="J36" s="255" t="s">
        <v>5603</v>
      </c>
      <c r="K36" s="257" t="s">
        <v>5604</v>
      </c>
      <c r="L36" s="255" t="s">
        <v>5509</v>
      </c>
      <c r="M36" s="255"/>
      <c r="N36" s="260" t="s">
        <v>92</v>
      </c>
      <c r="O36" s="255"/>
      <c r="P36" s="255"/>
      <c r="Q36" s="255"/>
      <c r="R36" s="3"/>
      <c r="S36" s="3"/>
      <c r="T36" s="3"/>
      <c r="U36" s="3"/>
      <c r="V36" s="3"/>
      <c r="W36" s="3"/>
      <c r="X36" s="3"/>
      <c r="Y36" s="3"/>
      <c r="Z36" s="3"/>
      <c r="AA36" s="3"/>
      <c r="AB36" s="3"/>
    </row>
    <row r="37">
      <c r="A37" s="249">
        <v>10039.0</v>
      </c>
      <c r="B37" s="247" t="s">
        <v>5605</v>
      </c>
      <c r="C37" s="113" t="str">
        <f>IFERROR(__xludf.DUMMYFUNCTION("GOOGLETRANSLATE(B37)"),"Long -term decarbonization strategy 2050")</f>
        <v>Long -term decarbonization strategy 2050</v>
      </c>
      <c r="D37" s="113" t="s">
        <v>5283</v>
      </c>
      <c r="E37" s="113" t="s">
        <v>5284</v>
      </c>
      <c r="F37" s="113" t="s">
        <v>144</v>
      </c>
      <c r="G37" s="249"/>
      <c r="H37" s="249">
        <v>2020.0</v>
      </c>
      <c r="I37" s="248" t="s">
        <v>924</v>
      </c>
      <c r="J37" s="113" t="s">
        <v>5606</v>
      </c>
      <c r="K37" s="250" t="s">
        <v>5607</v>
      </c>
      <c r="L37" s="113" t="s">
        <v>5509</v>
      </c>
      <c r="M37" s="113"/>
      <c r="N37" s="113" t="s">
        <v>37</v>
      </c>
      <c r="O37" s="113"/>
      <c r="P37" s="113"/>
      <c r="Q37" s="113"/>
    </row>
    <row r="38">
      <c r="A38" s="249">
        <v>10039.0</v>
      </c>
      <c r="B38" s="261" t="s">
        <v>5608</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5283</v>
      </c>
      <c r="E38" s="113" t="s">
        <v>5284</v>
      </c>
      <c r="F38" s="113" t="s">
        <v>144</v>
      </c>
      <c r="G38" s="249"/>
      <c r="H38" s="249">
        <v>2020.0</v>
      </c>
      <c r="I38" s="248" t="s">
        <v>924</v>
      </c>
      <c r="J38" s="113" t="s">
        <v>5609</v>
      </c>
      <c r="K38" s="250" t="s">
        <v>5610</v>
      </c>
      <c r="L38" s="113" t="s">
        <v>5509</v>
      </c>
      <c r="M38" s="113"/>
      <c r="N38" s="252" t="s">
        <v>92</v>
      </c>
      <c r="O38" s="113"/>
      <c r="P38" s="113"/>
      <c r="Q38" s="113"/>
    </row>
    <row r="39">
      <c r="A39" s="249">
        <v>10144.0</v>
      </c>
      <c r="B39" s="247" t="s">
        <v>5611</v>
      </c>
      <c r="C39" s="113" t="str">
        <f>IFERROR(__xludf.DUMMYFUNCTION("GOOGLETRANSLATE(B39)"),"NATIONAL ACTION FRAMEWORK FOR ALTERNATIVE ENERGY IN TRANSPORT")</f>
        <v>NATIONAL ACTION FRAMEWORK FOR ALTERNATIVE ENERGY IN TRANSPORT</v>
      </c>
      <c r="D39" s="113" t="s">
        <v>5283</v>
      </c>
      <c r="E39" s="113" t="s">
        <v>5284</v>
      </c>
      <c r="F39" s="113" t="s">
        <v>259</v>
      </c>
      <c r="G39" s="249"/>
      <c r="H39" s="249">
        <v>2016.0</v>
      </c>
      <c r="I39" s="248" t="s">
        <v>24</v>
      </c>
      <c r="J39" s="113" t="s">
        <v>5612</v>
      </c>
      <c r="K39" s="250" t="s">
        <v>5613</v>
      </c>
      <c r="L39" s="113" t="s">
        <v>5509</v>
      </c>
      <c r="M39" s="113"/>
      <c r="N39" s="113" t="s">
        <v>23</v>
      </c>
      <c r="O39" s="113"/>
      <c r="P39" s="113"/>
      <c r="Q39" s="113"/>
    </row>
    <row r="40">
      <c r="A40" s="249">
        <v>10144.0</v>
      </c>
      <c r="B40" s="247" t="s">
        <v>5614</v>
      </c>
      <c r="C40" s="113" t="str">
        <f>IFERROR(__xludf.DUMMYFUNCTION("GOOGLETRANSLATE(B40)"),"Vehicle impulse strategy with alternative energy (SEE) in Spain (2014-2020)")</f>
        <v>Vehicle impulse strategy with alternative energy (SEE) in Spain (2014-2020)</v>
      </c>
      <c r="D40" s="113" t="s">
        <v>5283</v>
      </c>
      <c r="E40" s="113" t="s">
        <v>5284</v>
      </c>
      <c r="F40" s="113" t="s">
        <v>144</v>
      </c>
      <c r="G40" s="249"/>
      <c r="H40" s="249">
        <v>2014.0</v>
      </c>
      <c r="I40" s="248" t="s">
        <v>924</v>
      </c>
      <c r="J40" s="113" t="s">
        <v>5615</v>
      </c>
      <c r="K40" s="250" t="s">
        <v>5616</v>
      </c>
      <c r="L40" s="113" t="s">
        <v>5509</v>
      </c>
      <c r="M40" s="113"/>
      <c r="N40" s="113" t="s">
        <v>23</v>
      </c>
      <c r="O40" s="113"/>
      <c r="P40" s="113"/>
      <c r="Q40" s="113"/>
    </row>
    <row r="41">
      <c r="A41" s="249">
        <v>10512.0</v>
      </c>
      <c r="B41" s="259" t="s">
        <v>5617</v>
      </c>
      <c r="C41" s="113" t="str">
        <f>IFERROR(__xludf.DUMMYFUNCTION("GOOGLETRANSLATE(B41)"),"Laying the Foundations for Recovery: Spain")</f>
        <v>Laying the Foundations for Recovery: Spain</v>
      </c>
      <c r="D41" s="113" t="s">
        <v>5283</v>
      </c>
      <c r="E41" s="113" t="s">
        <v>5284</v>
      </c>
      <c r="F41" s="248" t="s">
        <v>234</v>
      </c>
      <c r="G41" s="248"/>
      <c r="H41" s="248">
        <v>2021.0</v>
      </c>
      <c r="I41" s="248" t="s">
        <v>24</v>
      </c>
      <c r="J41" s="113" t="s">
        <v>5618</v>
      </c>
      <c r="K41" s="250" t="s">
        <v>5619</v>
      </c>
      <c r="L41" s="113" t="s">
        <v>5509</v>
      </c>
      <c r="M41" s="113"/>
      <c r="N41" s="113" t="s">
        <v>23</v>
      </c>
      <c r="O41" s="113"/>
      <c r="P41" s="113"/>
      <c r="Q41" s="113"/>
    </row>
    <row r="42">
      <c r="A42" s="249">
        <v>10512.0</v>
      </c>
      <c r="B42" s="259" t="s">
        <v>5620</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5283</v>
      </c>
      <c r="E42" s="113" t="s">
        <v>5284</v>
      </c>
      <c r="F42" s="248" t="s">
        <v>247</v>
      </c>
      <c r="G42" s="248"/>
      <c r="H42" s="248">
        <v>2021.0</v>
      </c>
      <c r="I42" s="248" t="s">
        <v>24</v>
      </c>
      <c r="J42" s="113" t="s">
        <v>5621</v>
      </c>
      <c r="K42" s="250" t="s">
        <v>5622</v>
      </c>
      <c r="L42" s="113" t="s">
        <v>5509</v>
      </c>
      <c r="M42" s="113"/>
      <c r="N42" s="113" t="s">
        <v>23</v>
      </c>
      <c r="O42" s="113"/>
      <c r="P42" s="113"/>
      <c r="Q42" s="113"/>
    </row>
    <row r="43">
      <c r="A43" s="249">
        <v>10512.0</v>
      </c>
      <c r="B43" s="259" t="s">
        <v>5623</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5283</v>
      </c>
      <c r="E43" s="113" t="s">
        <v>5284</v>
      </c>
      <c r="F43" s="248" t="s">
        <v>247</v>
      </c>
      <c r="G43" s="248"/>
      <c r="H43" s="248">
        <v>2021.0</v>
      </c>
      <c r="I43" s="248" t="s">
        <v>24</v>
      </c>
      <c r="J43" s="113" t="s">
        <v>5624</v>
      </c>
      <c r="K43" s="250" t="s">
        <v>5625</v>
      </c>
      <c r="L43" s="113" t="s">
        <v>5509</v>
      </c>
      <c r="M43" s="113"/>
      <c r="N43" s="113" t="s">
        <v>23</v>
      </c>
      <c r="O43" s="113"/>
      <c r="P43" s="113"/>
      <c r="Q43" s="113"/>
    </row>
    <row r="44">
      <c r="A44" s="249">
        <v>10512.0</v>
      </c>
      <c r="B44" s="262" t="s">
        <v>5626</v>
      </c>
      <c r="C44" s="113" t="str">
        <f>IFERROR(__xludf.DUMMYFUNCTION("GOOGLETRANSLATE(B44)"),"Recovery, transformation and resilience")</f>
        <v>Recovery, transformation and resilience</v>
      </c>
      <c r="D44" s="113" t="s">
        <v>5283</v>
      </c>
      <c r="E44" s="113" t="s">
        <v>5284</v>
      </c>
      <c r="F44" s="248" t="s">
        <v>234</v>
      </c>
      <c r="G44" s="248"/>
      <c r="H44" s="248">
        <v>2021.0</v>
      </c>
      <c r="I44" s="248" t="s">
        <v>924</v>
      </c>
      <c r="J44" s="113" t="s">
        <v>5627</v>
      </c>
      <c r="K44" s="250" t="s">
        <v>5628</v>
      </c>
      <c r="L44" s="113" t="s">
        <v>5509</v>
      </c>
      <c r="M44" s="113"/>
      <c r="N44" s="252" t="s">
        <v>326</v>
      </c>
      <c r="O44" s="113"/>
      <c r="P44" s="113"/>
      <c r="Q44" s="113"/>
    </row>
    <row r="45">
      <c r="A45" s="263">
        <v>10512.0</v>
      </c>
      <c r="B45" s="264" t="s">
        <v>5629</v>
      </c>
      <c r="C45" s="265" t="s">
        <v>5629</v>
      </c>
      <c r="D45" s="266" t="s">
        <v>5283</v>
      </c>
      <c r="E45" s="266" t="s">
        <v>5284</v>
      </c>
      <c r="F45" s="267" t="s">
        <v>234</v>
      </c>
      <c r="G45" s="267"/>
      <c r="H45" s="267">
        <v>2021.0</v>
      </c>
      <c r="I45" s="267" t="s">
        <v>24</v>
      </c>
      <c r="J45" s="266" t="s">
        <v>5630</v>
      </c>
      <c r="K45" s="268" t="s">
        <v>5631</v>
      </c>
      <c r="L45" s="266" t="s">
        <v>5509</v>
      </c>
      <c r="M45" s="266"/>
      <c r="N45" s="269" t="s">
        <v>92</v>
      </c>
      <c r="O45" s="267" t="s">
        <v>5632</v>
      </c>
      <c r="P45" s="266"/>
      <c r="Q45" s="266"/>
      <c r="R45" s="143"/>
      <c r="S45" s="143"/>
      <c r="T45" s="143"/>
      <c r="U45" s="143"/>
      <c r="V45" s="143"/>
      <c r="W45" s="143"/>
      <c r="X45" s="143"/>
      <c r="Y45" s="143"/>
      <c r="Z45" s="143"/>
      <c r="AA45" s="143"/>
      <c r="AB45" s="143"/>
    </row>
    <row r="46">
      <c r="A46" s="253">
        <v>4815.0</v>
      </c>
      <c r="B46" s="270" t="s">
        <v>5633</v>
      </c>
      <c r="C46" s="255"/>
      <c r="D46" s="255" t="s">
        <v>5634</v>
      </c>
      <c r="E46" s="255" t="s">
        <v>5635</v>
      </c>
      <c r="F46" s="256" t="s">
        <v>144</v>
      </c>
      <c r="G46" s="256"/>
      <c r="H46" s="256">
        <v>2008.0</v>
      </c>
      <c r="I46" s="256" t="s">
        <v>24</v>
      </c>
      <c r="J46" s="255" t="s">
        <v>5636</v>
      </c>
      <c r="K46" s="257" t="s">
        <v>5637</v>
      </c>
      <c r="L46" s="255" t="s">
        <v>5509</v>
      </c>
      <c r="M46" s="255"/>
      <c r="N46" s="255" t="s">
        <v>23</v>
      </c>
      <c r="O46" s="256" t="s">
        <v>5638</v>
      </c>
      <c r="P46" s="255"/>
      <c r="Q46" s="255"/>
      <c r="R46" s="3"/>
      <c r="S46" s="3"/>
      <c r="T46" s="3"/>
      <c r="U46" s="3"/>
      <c r="V46" s="3"/>
      <c r="W46" s="3"/>
      <c r="X46" s="3"/>
      <c r="Y46" s="3"/>
      <c r="Z46" s="3"/>
      <c r="AA46" s="3"/>
      <c r="AB46" s="3"/>
    </row>
    <row r="47">
      <c r="A47" s="253">
        <v>4815.0</v>
      </c>
      <c r="B47" s="270" t="s">
        <v>5639</v>
      </c>
      <c r="C47" s="9" t="s">
        <v>5639</v>
      </c>
      <c r="D47" s="255" t="s">
        <v>5634</v>
      </c>
      <c r="E47" s="255" t="s">
        <v>5635</v>
      </c>
      <c r="F47" s="256" t="s">
        <v>144</v>
      </c>
      <c r="G47" s="256"/>
      <c r="H47" s="256">
        <v>2019.0</v>
      </c>
      <c r="I47" s="256" t="s">
        <v>24</v>
      </c>
      <c r="J47" s="255" t="s">
        <v>5640</v>
      </c>
      <c r="K47" s="257" t="s">
        <v>5641</v>
      </c>
      <c r="L47" s="255" t="s">
        <v>5509</v>
      </c>
      <c r="M47" s="255"/>
      <c r="N47" s="255" t="s">
        <v>23</v>
      </c>
      <c r="O47" s="255"/>
      <c r="P47" s="255"/>
      <c r="Q47" s="255"/>
      <c r="R47" s="3"/>
      <c r="S47" s="3"/>
      <c r="T47" s="3"/>
      <c r="U47" s="3"/>
      <c r="V47" s="3"/>
      <c r="W47" s="3"/>
      <c r="X47" s="3"/>
      <c r="Y47" s="3"/>
      <c r="Z47" s="3"/>
      <c r="AA47" s="3"/>
      <c r="AB47" s="3"/>
    </row>
    <row r="48">
      <c r="A48" s="249">
        <v>9653.0</v>
      </c>
      <c r="B48" s="271" t="s">
        <v>5642</v>
      </c>
      <c r="C48" s="113" t="str">
        <f>IFERROR(__xludf.DUMMYFUNCTION("GOOGLETRANSLATE(B48)"),"Coast Conservation Act")</f>
        <v>Coast Conservation Act</v>
      </c>
      <c r="D48" s="113" t="s">
        <v>5634</v>
      </c>
      <c r="E48" s="113" t="s">
        <v>5635</v>
      </c>
      <c r="F48" s="248" t="s">
        <v>45</v>
      </c>
      <c r="G48" s="248"/>
      <c r="H48" s="248">
        <v>1981.0</v>
      </c>
      <c r="I48" s="248" t="s">
        <v>24</v>
      </c>
      <c r="J48" s="113" t="s">
        <v>5643</v>
      </c>
      <c r="K48" s="250" t="s">
        <v>5644</v>
      </c>
      <c r="L48" s="113" t="s">
        <v>5509</v>
      </c>
      <c r="M48" s="113"/>
      <c r="N48" s="252" t="s">
        <v>4342</v>
      </c>
      <c r="O48" s="113"/>
      <c r="P48" s="113"/>
      <c r="Q48" s="113"/>
    </row>
    <row r="49">
      <c r="A49" s="249">
        <v>9653.0</v>
      </c>
      <c r="B49" s="259" t="s">
        <v>5642</v>
      </c>
      <c r="C49" s="113" t="str">
        <f>IFERROR(__xludf.DUMMYFUNCTION("GOOGLETRANSLATE(B49)"),"Coast Conservation Act")</f>
        <v>Coast Conservation Act</v>
      </c>
      <c r="D49" s="113" t="s">
        <v>5634</v>
      </c>
      <c r="E49" s="113" t="s">
        <v>5635</v>
      </c>
      <c r="F49" s="248" t="s">
        <v>45</v>
      </c>
      <c r="G49" s="248"/>
      <c r="H49" s="248">
        <v>2011.0</v>
      </c>
      <c r="I49" s="248" t="s">
        <v>24</v>
      </c>
      <c r="J49" s="113" t="s">
        <v>5645</v>
      </c>
      <c r="K49" s="250" t="s">
        <v>5646</v>
      </c>
      <c r="L49" s="113" t="s">
        <v>5509</v>
      </c>
      <c r="M49" s="113"/>
      <c r="N49" s="113" t="s">
        <v>23</v>
      </c>
      <c r="O49" s="113"/>
      <c r="P49" s="113"/>
      <c r="Q49" s="113"/>
    </row>
    <row r="50" hidden="1">
      <c r="A50" s="263">
        <v>8523.0</v>
      </c>
      <c r="B50" s="272"/>
      <c r="C50" s="113" t="str">
        <f>IFERROR(__xludf.DUMMYFUNCTION("GOOGLETRANSLATE(B50)"),"#VALUE!")</f>
        <v>#VALUE!</v>
      </c>
      <c r="D50" s="266" t="s">
        <v>5647</v>
      </c>
      <c r="E50" s="266" t="s">
        <v>5648</v>
      </c>
      <c r="F50" s="266"/>
      <c r="G50" s="266"/>
      <c r="H50" s="266"/>
      <c r="I50" s="266"/>
      <c r="J50" s="266" t="s">
        <v>5649</v>
      </c>
      <c r="K50" s="268" t="s">
        <v>5650</v>
      </c>
      <c r="L50" s="266" t="s">
        <v>5509</v>
      </c>
      <c r="M50" s="266"/>
      <c r="N50" s="269" t="s">
        <v>326</v>
      </c>
      <c r="O50" s="267" t="s">
        <v>5651</v>
      </c>
      <c r="P50" s="266"/>
      <c r="Q50" s="266"/>
      <c r="R50" s="143"/>
      <c r="S50" s="143"/>
      <c r="T50" s="143"/>
      <c r="U50" s="143"/>
      <c r="V50" s="143"/>
      <c r="W50" s="143"/>
      <c r="X50" s="143"/>
      <c r="Y50" s="143"/>
      <c r="Z50" s="143"/>
      <c r="AA50" s="143"/>
      <c r="AB50" s="143"/>
    </row>
    <row r="51">
      <c r="A51" s="249">
        <v>8523.0</v>
      </c>
      <c r="B51" s="259" t="s">
        <v>5652</v>
      </c>
      <c r="C51" s="248" t="s">
        <v>3515</v>
      </c>
      <c r="D51" s="113" t="s">
        <v>5647</v>
      </c>
      <c r="E51" s="113" t="s">
        <v>5648</v>
      </c>
      <c r="F51" s="248" t="s">
        <v>45</v>
      </c>
      <c r="G51" s="248"/>
      <c r="H51" s="248">
        <v>2016.0</v>
      </c>
      <c r="I51" s="248" t="s">
        <v>3152</v>
      </c>
      <c r="J51" s="113" t="s">
        <v>5653</v>
      </c>
      <c r="K51" s="250" t="s">
        <v>5654</v>
      </c>
      <c r="L51" s="113" t="s">
        <v>5509</v>
      </c>
      <c r="M51" s="113"/>
      <c r="N51" s="113" t="s">
        <v>23</v>
      </c>
      <c r="O51" s="113"/>
      <c r="P51" s="113"/>
      <c r="Q51" s="113"/>
    </row>
    <row r="52">
      <c r="A52" s="249">
        <v>1680.0</v>
      </c>
      <c r="B52" s="259" t="s">
        <v>5655</v>
      </c>
      <c r="C52" s="113" t="str">
        <f>IFERROR(__xludf.DUMMYFUNCTION("GOOGLETRANSLATE(B52)"),"Law (2011: 1200) on electricity certificates")</f>
        <v>Law (2011: 1200) on electricity certificates</v>
      </c>
      <c r="D52" s="113" t="s">
        <v>5656</v>
      </c>
      <c r="E52" s="113" t="s">
        <v>5657</v>
      </c>
      <c r="F52" s="248" t="s">
        <v>41</v>
      </c>
      <c r="G52" s="248"/>
      <c r="H52" s="248">
        <v>2011.0</v>
      </c>
      <c r="I52" s="248" t="s">
        <v>5658</v>
      </c>
      <c r="J52" s="113" t="s">
        <v>5659</v>
      </c>
      <c r="K52" s="250" t="s">
        <v>5660</v>
      </c>
      <c r="L52" s="113" t="s">
        <v>5509</v>
      </c>
      <c r="M52" s="113"/>
      <c r="N52" s="113" t="s">
        <v>23</v>
      </c>
      <c r="O52" s="113"/>
      <c r="P52" s="113"/>
      <c r="Q52" s="113"/>
    </row>
    <row r="53">
      <c r="A53" s="249">
        <v>1680.0</v>
      </c>
      <c r="B53" s="259" t="s">
        <v>5661</v>
      </c>
      <c r="C53" s="113" t="str">
        <f>IFERROR(__xludf.DUMMYFUNCTION("GOOGLETRANSLATE(B53)"),"Regulation (2011: 1480) on electricity certificates")</f>
        <v>Regulation (2011: 1480) on electricity certificates</v>
      </c>
      <c r="D53" s="113" t="s">
        <v>5656</v>
      </c>
      <c r="E53" s="113" t="s">
        <v>5657</v>
      </c>
      <c r="F53" s="248" t="s">
        <v>708</v>
      </c>
      <c r="G53" s="248"/>
      <c r="H53" s="248">
        <v>2011.0</v>
      </c>
      <c r="I53" s="248" t="s">
        <v>5658</v>
      </c>
      <c r="J53" s="113" t="s">
        <v>5662</v>
      </c>
      <c r="K53" s="250" t="s">
        <v>5663</v>
      </c>
      <c r="L53" s="113" t="s">
        <v>5509</v>
      </c>
      <c r="M53" s="113"/>
      <c r="N53" s="113" t="s">
        <v>23</v>
      </c>
      <c r="O53" s="113"/>
      <c r="P53" s="113"/>
      <c r="Q53" s="113"/>
    </row>
    <row r="54">
      <c r="A54" s="249">
        <v>1683.0</v>
      </c>
      <c r="B54" s="271" t="s">
        <v>5664</v>
      </c>
      <c r="C54" s="113" t="str">
        <f>IFERROR(__xludf.DUMMYFUNCTION("GOOGLETRANSLATE(B54)"),"Planning and Building Act (2010: 900)")</f>
        <v>Planning and Building Act (2010: 900)</v>
      </c>
      <c r="D54" s="113" t="s">
        <v>5656</v>
      </c>
      <c r="E54" s="113" t="s">
        <v>5657</v>
      </c>
      <c r="F54" s="248" t="s">
        <v>45</v>
      </c>
      <c r="G54" s="248"/>
      <c r="H54" s="248">
        <v>2010.0</v>
      </c>
      <c r="I54" s="248" t="s">
        <v>5658</v>
      </c>
      <c r="J54" s="113" t="s">
        <v>5665</v>
      </c>
      <c r="K54" s="250" t="s">
        <v>5666</v>
      </c>
      <c r="L54" s="113" t="s">
        <v>5509</v>
      </c>
      <c r="M54" s="113"/>
      <c r="N54" s="113" t="s">
        <v>23</v>
      </c>
      <c r="O54" s="113"/>
      <c r="P54" s="113"/>
      <c r="Q54" s="113"/>
    </row>
    <row r="55">
      <c r="A55" s="253">
        <v>1683.0</v>
      </c>
      <c r="B55" s="273" t="s">
        <v>5667</v>
      </c>
      <c r="C55" s="113" t="str">
        <f>IFERROR(__xludf.DUMMYFUNCTION("GOOGLETRANSLATE(B55)"),"Planning and Building Act (2010:900)")</f>
        <v>Planning and Building Act (2010:900)</v>
      </c>
      <c r="D55" s="255" t="s">
        <v>5656</v>
      </c>
      <c r="E55" s="255" t="s">
        <v>5657</v>
      </c>
      <c r="F55" s="256" t="s">
        <v>45</v>
      </c>
      <c r="G55" s="256"/>
      <c r="H55" s="256">
        <v>2010.0</v>
      </c>
      <c r="I55" s="256" t="s">
        <v>24</v>
      </c>
      <c r="J55" s="255" t="s">
        <v>5668</v>
      </c>
      <c r="K55" s="257" t="s">
        <v>5669</v>
      </c>
      <c r="L55" s="255" t="s">
        <v>5509</v>
      </c>
      <c r="M55" s="255"/>
      <c r="N55" s="255" t="s">
        <v>23</v>
      </c>
      <c r="O55" s="256" t="s">
        <v>5670</v>
      </c>
      <c r="P55" s="255"/>
      <c r="Q55" s="255"/>
      <c r="R55" s="3"/>
      <c r="S55" s="3"/>
      <c r="T55" s="3"/>
      <c r="U55" s="3"/>
      <c r="V55" s="3"/>
      <c r="W55" s="3"/>
      <c r="X55" s="3"/>
      <c r="Y55" s="3"/>
      <c r="Z55" s="3"/>
      <c r="AA55" s="3"/>
      <c r="AB55" s="3"/>
    </row>
    <row r="56">
      <c r="A56" s="249">
        <v>8273.0</v>
      </c>
      <c r="B56" s="271" t="s">
        <v>5671</v>
      </c>
      <c r="C56" s="113" t="str">
        <f>IFERROR(__xludf.DUMMYFUNCTION("GOOGLETRANSLATE(B56)"),"Climate Act (2017: 720)")</f>
        <v>Climate Act (2017: 720)</v>
      </c>
      <c r="D56" s="113" t="s">
        <v>5656</v>
      </c>
      <c r="E56" s="113" t="s">
        <v>5657</v>
      </c>
      <c r="F56" s="248" t="s">
        <v>5672</v>
      </c>
      <c r="G56" s="248"/>
      <c r="H56" s="248">
        <v>2017.0</v>
      </c>
      <c r="I56" s="248" t="s">
        <v>5658</v>
      </c>
      <c r="J56" s="113" t="s">
        <v>5673</v>
      </c>
      <c r="K56" s="250" t="s">
        <v>5674</v>
      </c>
      <c r="L56" s="113" t="s">
        <v>5509</v>
      </c>
      <c r="M56" s="113"/>
      <c r="N56" s="113" t="s">
        <v>23</v>
      </c>
      <c r="O56" s="113"/>
      <c r="P56" s="113"/>
      <c r="Q56" s="113"/>
    </row>
    <row r="57">
      <c r="A57" s="253">
        <v>8273.0</v>
      </c>
      <c r="B57" s="273" t="s">
        <v>5675</v>
      </c>
      <c r="C57" s="113" t="str">
        <f>IFERROR(__xludf.DUMMYFUNCTION("GOOGLETRANSLATE(B57)"),"The Swedish Climate Act")</f>
        <v>The Swedish Climate Act</v>
      </c>
      <c r="D57" s="255" t="s">
        <v>5656</v>
      </c>
      <c r="E57" s="255" t="s">
        <v>5657</v>
      </c>
      <c r="F57" s="256" t="s">
        <v>45</v>
      </c>
      <c r="G57" s="255"/>
      <c r="H57" s="255"/>
      <c r="I57" s="256" t="s">
        <v>5658</v>
      </c>
      <c r="J57" s="257" t="s">
        <v>5676</v>
      </c>
      <c r="K57" s="257" t="s">
        <v>5677</v>
      </c>
      <c r="L57" s="255" t="s">
        <v>5509</v>
      </c>
      <c r="M57" s="255"/>
      <c r="N57" s="255" t="s">
        <v>23</v>
      </c>
      <c r="O57" s="256" t="s">
        <v>5678</v>
      </c>
      <c r="P57" s="255"/>
      <c r="Q57" s="255"/>
      <c r="R57" s="3"/>
      <c r="S57" s="3"/>
      <c r="T57" s="3"/>
      <c r="U57" s="3"/>
      <c r="V57" s="3"/>
      <c r="W57" s="3"/>
      <c r="X57" s="3"/>
      <c r="Y57" s="3"/>
      <c r="Z57" s="3"/>
      <c r="AA57" s="3"/>
      <c r="AB57" s="3"/>
    </row>
    <row r="58">
      <c r="A58" s="249">
        <v>8752.0</v>
      </c>
      <c r="B58" s="259" t="s">
        <v>5679</v>
      </c>
      <c r="C58" s="113" t="str">
        <f>IFERROR(__xludf.DUMMYFUNCTION("GOOGLETRANSLATE(B58)"),"The Swedish Climate Policy Framework")</f>
        <v>The Swedish Climate Policy Framework</v>
      </c>
      <c r="D58" s="113" t="s">
        <v>5656</v>
      </c>
      <c r="E58" s="113" t="s">
        <v>5657</v>
      </c>
      <c r="F58" s="248" t="s">
        <v>259</v>
      </c>
      <c r="G58" s="248"/>
      <c r="H58" s="248">
        <v>2017.0</v>
      </c>
      <c r="I58" s="248" t="s">
        <v>24</v>
      </c>
      <c r="J58" s="113" t="s">
        <v>5680</v>
      </c>
      <c r="K58" s="250" t="s">
        <v>5681</v>
      </c>
      <c r="L58" s="113" t="s">
        <v>5509</v>
      </c>
      <c r="M58" s="113"/>
      <c r="N58" s="113" t="s">
        <v>23</v>
      </c>
      <c r="O58" s="113"/>
      <c r="P58" s="113"/>
      <c r="Q58" s="113"/>
    </row>
    <row r="59">
      <c r="A59" s="253">
        <v>8752.0</v>
      </c>
      <c r="B59" s="273" t="s">
        <v>5679</v>
      </c>
      <c r="C59" s="113" t="str">
        <f>IFERROR(__xludf.DUMMYFUNCTION("GOOGLETRANSLATE(B59)"),"The Swedish Climate Policy Framework")</f>
        <v>The Swedish Climate Policy Framework</v>
      </c>
      <c r="D59" s="255" t="s">
        <v>5656</v>
      </c>
      <c r="E59" s="255" t="s">
        <v>5657</v>
      </c>
      <c r="F59" s="256" t="s">
        <v>259</v>
      </c>
      <c r="G59" s="256"/>
      <c r="H59" s="256">
        <v>2017.0</v>
      </c>
      <c r="I59" s="256" t="s">
        <v>24</v>
      </c>
      <c r="J59" s="255" t="s">
        <v>5682</v>
      </c>
      <c r="K59" s="257" t="s">
        <v>5683</v>
      </c>
      <c r="L59" s="255" t="s">
        <v>5509</v>
      </c>
      <c r="M59" s="255"/>
      <c r="N59" s="260" t="s">
        <v>92</v>
      </c>
      <c r="O59" s="256" t="s">
        <v>5684</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5656</v>
      </c>
      <c r="E60" s="255" t="s">
        <v>5657</v>
      </c>
      <c r="F60" s="255"/>
      <c r="G60" s="256"/>
      <c r="H60" s="256">
        <v>2017.0</v>
      </c>
      <c r="I60" s="256" t="s">
        <v>5658</v>
      </c>
      <c r="J60" s="255" t="s">
        <v>5685</v>
      </c>
      <c r="K60" s="257" t="s">
        <v>5686</v>
      </c>
      <c r="L60" s="255" t="s">
        <v>5509</v>
      </c>
      <c r="M60" s="255"/>
      <c r="N60" s="255" t="s">
        <v>23</v>
      </c>
      <c r="O60" s="256" t="s">
        <v>5687</v>
      </c>
      <c r="P60" s="255"/>
      <c r="Q60" s="255"/>
      <c r="R60" s="3"/>
      <c r="S60" s="3"/>
      <c r="T60" s="3"/>
      <c r="U60" s="3"/>
      <c r="V60" s="3"/>
      <c r="W60" s="3"/>
      <c r="X60" s="3"/>
      <c r="Y60" s="3"/>
      <c r="Z60" s="3"/>
      <c r="AA60" s="3"/>
      <c r="AB60" s="3"/>
    </row>
    <row r="61">
      <c r="A61" s="249">
        <v>8763.0</v>
      </c>
      <c r="B61" s="274" t="s">
        <v>5688</v>
      </c>
      <c r="C61" s="113" t="str">
        <f>IFERROR(__xludf.DUMMYFUNCTION("GOOGLETRANSLATE(B61)"),"National Strategy for Climate Adaptation")</f>
        <v>National Strategy for Climate Adaptation</v>
      </c>
      <c r="D61" s="113" t="s">
        <v>5656</v>
      </c>
      <c r="E61" s="113" t="s">
        <v>5657</v>
      </c>
      <c r="F61" s="248" t="s">
        <v>144</v>
      </c>
      <c r="G61" s="248"/>
      <c r="H61" s="248">
        <v>2017.0</v>
      </c>
      <c r="I61" s="248" t="s">
        <v>5658</v>
      </c>
      <c r="J61" s="113" t="s">
        <v>5689</v>
      </c>
      <c r="K61" s="250" t="s">
        <v>5690</v>
      </c>
      <c r="L61" s="113" t="s">
        <v>5509</v>
      </c>
      <c r="M61" s="113"/>
      <c r="N61" s="252" t="s">
        <v>92</v>
      </c>
      <c r="O61" s="113"/>
      <c r="P61" s="113"/>
      <c r="Q61" s="113"/>
    </row>
    <row r="62">
      <c r="A62" s="249">
        <v>9518.0</v>
      </c>
      <c r="B62" s="271" t="s">
        <v>5691</v>
      </c>
      <c r="C62" s="113" t="str">
        <f>IFERROR(__xludf.DUMMYFUNCTION("GOOGLETRANSLATE(B62)"),"Sweden’s Integrated National Energy and Climate Plan")</f>
        <v>Sweden’s Integrated National Energy and Climate Plan</v>
      </c>
      <c r="D62" s="113" t="s">
        <v>5656</v>
      </c>
      <c r="E62" s="113" t="s">
        <v>5657</v>
      </c>
      <c r="F62" s="248" t="s">
        <v>234</v>
      </c>
      <c r="G62" s="248"/>
      <c r="H62" s="248">
        <v>2020.0</v>
      </c>
      <c r="I62" s="248" t="s">
        <v>24</v>
      </c>
      <c r="J62" s="113" t="s">
        <v>5692</v>
      </c>
      <c r="K62" s="250" t="s">
        <v>5693</v>
      </c>
      <c r="L62" s="113" t="s">
        <v>5509</v>
      </c>
      <c r="M62" s="113"/>
      <c r="N62" s="113" t="s">
        <v>23</v>
      </c>
      <c r="O62" s="113"/>
      <c r="P62" s="113"/>
      <c r="Q62" s="113"/>
    </row>
    <row r="63">
      <c r="A63" s="249">
        <v>9518.0</v>
      </c>
      <c r="B63" s="271" t="s">
        <v>5694</v>
      </c>
      <c r="C63" s="1" t="str">
        <f>IFERROR(__xludf.DUMMYFUNCTION("GOOGLETRANSLATE(B63)"),"Sweden's integrated national energy and climate plan")</f>
        <v>Sweden's integrated national energy and climate plan</v>
      </c>
      <c r="D63" s="113" t="s">
        <v>5656</v>
      </c>
      <c r="E63" s="113" t="s">
        <v>5657</v>
      </c>
      <c r="F63" s="248" t="s">
        <v>234</v>
      </c>
      <c r="G63" s="248"/>
      <c r="H63" s="248">
        <v>2020.0</v>
      </c>
      <c r="I63" s="248" t="s">
        <v>5658</v>
      </c>
      <c r="J63" s="113" t="s">
        <v>5695</v>
      </c>
      <c r="K63" s="250" t="s">
        <v>5696</v>
      </c>
      <c r="L63" s="113" t="s">
        <v>5509</v>
      </c>
      <c r="M63" s="113"/>
      <c r="N63" s="113" t="s">
        <v>23</v>
      </c>
      <c r="O63" s="113"/>
      <c r="P63" s="113"/>
      <c r="Q63" s="113"/>
    </row>
    <row r="64">
      <c r="A64" s="249">
        <v>10125.0</v>
      </c>
      <c r="B64" s="275" t="s">
        <v>5697</v>
      </c>
      <c r="C64" s="1" t="str">
        <f>IFERROR(__xludf.DUMMYFUNCTION("GOOGLETRANSLATE(B64)"),"Regulation (2017: 1319) on state aid to measures that contribute to industry climate change")</f>
        <v>Regulation (2017: 1319) on state aid to measures that contribute to industry climate change</v>
      </c>
      <c r="D64" s="113" t="s">
        <v>5656</v>
      </c>
      <c r="E64" s="113" t="s">
        <v>5657</v>
      </c>
      <c r="F64" s="248" t="s">
        <v>708</v>
      </c>
      <c r="G64" s="248"/>
      <c r="H64" s="248">
        <v>2017.0</v>
      </c>
      <c r="I64" s="248" t="s">
        <v>5658</v>
      </c>
      <c r="J64" s="113" t="s">
        <v>5698</v>
      </c>
      <c r="K64" s="250" t="s">
        <v>5699</v>
      </c>
      <c r="L64" s="113" t="s">
        <v>5509</v>
      </c>
      <c r="M64" s="113"/>
      <c r="N64" s="252" t="s">
        <v>92</v>
      </c>
      <c r="O64" s="113"/>
      <c r="P64" s="113"/>
      <c r="Q64" s="113"/>
    </row>
    <row r="65">
      <c r="A65" s="253">
        <v>10125.0</v>
      </c>
      <c r="B65" s="276" t="s">
        <v>5700</v>
      </c>
      <c r="C65" s="255" t="str">
        <f>IFERROR(__xludf.DUMMYFUNCTION("GOOGLETRANSLATE(B65)"),"Regulatory letter for the financial year 2021 regarding appropriation 1:19 Industrial Life")</f>
        <v>Regulatory letter for the financial year 2021 regarding appropriation 1:19 Industrial Life</v>
      </c>
      <c r="D65" s="255" t="s">
        <v>5656</v>
      </c>
      <c r="E65" s="255" t="s">
        <v>5657</v>
      </c>
      <c r="F65" s="256" t="s">
        <v>34</v>
      </c>
      <c r="G65" s="256"/>
      <c r="H65" s="256">
        <v>2021.0</v>
      </c>
      <c r="I65" s="256" t="s">
        <v>5658</v>
      </c>
      <c r="J65" s="257" t="s">
        <v>5701</v>
      </c>
      <c r="K65" s="257" t="s">
        <v>5702</v>
      </c>
      <c r="L65" s="255" t="s">
        <v>5509</v>
      </c>
      <c r="M65" s="255"/>
      <c r="N65" s="260" t="s">
        <v>92</v>
      </c>
      <c r="O65" s="256" t="s">
        <v>5703</v>
      </c>
      <c r="P65" s="255"/>
      <c r="Q65" s="255"/>
      <c r="R65" s="3"/>
      <c r="S65" s="3"/>
      <c r="T65" s="3"/>
      <c r="U65" s="3"/>
      <c r="V65" s="3"/>
      <c r="W65" s="3"/>
      <c r="X65" s="3"/>
      <c r="Y65" s="3"/>
      <c r="Z65" s="3"/>
      <c r="AA65" s="3"/>
      <c r="AB65" s="3"/>
    </row>
    <row r="66">
      <c r="A66" s="249">
        <v>1687.0</v>
      </c>
      <c r="B66" s="271" t="s">
        <v>5704</v>
      </c>
      <c r="C66" s="113" t="str">
        <f>IFERROR(__xludf.DUMMYFUNCTION("GOOGLETRANSLATE(B66)"),"Federal Act on the Reduction of CO2 Emissions")</f>
        <v>Federal Act on the Reduction of CO2 Emissions</v>
      </c>
      <c r="D66" s="113" t="s">
        <v>5705</v>
      </c>
      <c r="E66" s="113" t="s">
        <v>5706</v>
      </c>
      <c r="F66" s="248" t="s">
        <v>45</v>
      </c>
      <c r="G66" s="248"/>
      <c r="H66" s="248">
        <v>2013.0</v>
      </c>
      <c r="I66" s="248" t="s">
        <v>24</v>
      </c>
      <c r="J66" s="113" t="s">
        <v>5707</v>
      </c>
      <c r="K66" s="250" t="s">
        <v>5708</v>
      </c>
      <c r="L66" s="113" t="s">
        <v>5509</v>
      </c>
      <c r="M66" s="113"/>
      <c r="N66" s="113" t="s">
        <v>23</v>
      </c>
      <c r="O66" s="113"/>
      <c r="P66" s="113"/>
      <c r="Q66" s="113"/>
    </row>
    <row r="67">
      <c r="A67" s="249">
        <v>1687.0</v>
      </c>
      <c r="B67" s="271" t="s">
        <v>5709</v>
      </c>
      <c r="C67" s="113" t="str">
        <f>IFERROR(__xludf.DUMMYFUNCTION("GOOGLETRANSLATE(B67)"),"CO2 emissions reduction order")</f>
        <v>CO2 emissions reduction order</v>
      </c>
      <c r="D67" s="113" t="s">
        <v>5705</v>
      </c>
      <c r="E67" s="113" t="s">
        <v>5706</v>
      </c>
      <c r="F67" s="248" t="s">
        <v>708</v>
      </c>
      <c r="G67" s="248"/>
      <c r="H67" s="248">
        <v>2012.0</v>
      </c>
      <c r="I67" s="248" t="s">
        <v>811</v>
      </c>
      <c r="J67" s="113" t="s">
        <v>5710</v>
      </c>
      <c r="K67" s="250" t="s">
        <v>5711</v>
      </c>
      <c r="L67" s="113" t="s">
        <v>5509</v>
      </c>
      <c r="M67" s="113"/>
      <c r="N67" s="113" t="s">
        <v>23</v>
      </c>
      <c r="O67" s="113"/>
      <c r="P67" s="113"/>
      <c r="Q67" s="113"/>
    </row>
    <row r="68">
      <c r="A68" s="249">
        <v>1687.0</v>
      </c>
      <c r="B68" s="259" t="s">
        <v>5712</v>
      </c>
      <c r="C68" s="113" t="str">
        <f>IFERROR(__xludf.DUMMYFUNCTION("GOOGLETRANSLATE(B68)"),"Partial revision of the order on the reduction of CO2 emissions")</f>
        <v>Partial revision of the order on the reduction of CO2 emissions</v>
      </c>
      <c r="D68" s="113" t="s">
        <v>5705</v>
      </c>
      <c r="E68" s="113" t="s">
        <v>5706</v>
      </c>
      <c r="F68" s="248" t="s">
        <v>708</v>
      </c>
      <c r="G68" s="248"/>
      <c r="H68" s="248">
        <v>2020.0</v>
      </c>
      <c r="I68" s="248" t="s">
        <v>811</v>
      </c>
      <c r="J68" s="113" t="s">
        <v>5713</v>
      </c>
      <c r="K68" s="250" t="s">
        <v>5714</v>
      </c>
      <c r="L68" s="113" t="s">
        <v>5509</v>
      </c>
      <c r="M68" s="113"/>
      <c r="N68" s="113" t="s">
        <v>23</v>
      </c>
      <c r="O68" s="113"/>
      <c r="P68" s="113"/>
      <c r="Q68" s="113"/>
    </row>
    <row r="69">
      <c r="A69" s="249">
        <v>1689.0</v>
      </c>
      <c r="B69" s="259" t="s">
        <v>5715</v>
      </c>
      <c r="C69" s="113" t="str">
        <f>IFERROR(__xludf.DUMMYFUNCTION("GOOGLETRANSLATE(B69)"),"Adaptation to climate change in Switzerland")</f>
        <v>Adaptation to climate change in Switzerland</v>
      </c>
      <c r="D69" s="113" t="s">
        <v>5705</v>
      </c>
      <c r="E69" s="113" t="s">
        <v>5706</v>
      </c>
      <c r="F69" s="248" t="s">
        <v>144</v>
      </c>
      <c r="G69" s="248"/>
      <c r="H69" s="248">
        <v>2012.0</v>
      </c>
      <c r="I69" s="248" t="s">
        <v>811</v>
      </c>
      <c r="J69" s="113" t="s">
        <v>5716</v>
      </c>
      <c r="K69" s="250" t="s">
        <v>5717</v>
      </c>
      <c r="L69" s="113" t="s">
        <v>5509</v>
      </c>
      <c r="M69" s="113"/>
      <c r="N69" s="113" t="s">
        <v>23</v>
      </c>
      <c r="O69" s="113"/>
      <c r="P69" s="113"/>
      <c r="Q69" s="113"/>
    </row>
    <row r="70">
      <c r="A70" s="249">
        <v>1689.0</v>
      </c>
      <c r="B70" s="271" t="s">
        <v>5718</v>
      </c>
      <c r="C70" s="113" t="str">
        <f>IFERROR(__xludf.DUMMYFUNCTION("GOOGLETRANSLATE(B70)"),"Adaptation to climate change in Switzerland")</f>
        <v>Adaptation to climate change in Switzerland</v>
      </c>
      <c r="D70" s="113" t="s">
        <v>5705</v>
      </c>
      <c r="E70" s="113" t="s">
        <v>5706</v>
      </c>
      <c r="F70" s="248" t="s">
        <v>144</v>
      </c>
      <c r="G70" s="248"/>
      <c r="H70" s="248">
        <v>2012.0</v>
      </c>
      <c r="I70" s="248" t="s">
        <v>1470</v>
      </c>
      <c r="J70" s="113" t="s">
        <v>5719</v>
      </c>
      <c r="K70" s="250" t="s">
        <v>5720</v>
      </c>
      <c r="L70" s="113" t="s">
        <v>5509</v>
      </c>
      <c r="M70" s="113"/>
      <c r="N70" s="113" t="s">
        <v>23</v>
      </c>
      <c r="O70" s="113"/>
      <c r="P70" s="113"/>
      <c r="Q70" s="113"/>
    </row>
    <row r="71">
      <c r="A71" s="249">
        <v>1690.0</v>
      </c>
      <c r="B71" s="259" t="s">
        <v>5721</v>
      </c>
      <c r="C71" s="113" t="str">
        <f>IFERROR(__xludf.DUMMYFUNCTION("GOOGLETRANSLATE(B71)"),"Ordinance on the reduction of CO2 emissions")</f>
        <v>Ordinance on the reduction of CO2 emissions</v>
      </c>
      <c r="D71" s="113" t="s">
        <v>5705</v>
      </c>
      <c r="E71" s="113" t="s">
        <v>5706</v>
      </c>
      <c r="F71" s="248" t="s">
        <v>34</v>
      </c>
      <c r="G71" s="248"/>
      <c r="H71" s="248">
        <v>2012.0</v>
      </c>
      <c r="I71" s="248" t="s">
        <v>1470</v>
      </c>
      <c r="J71" s="113" t="s">
        <v>5722</v>
      </c>
      <c r="K71" s="250" t="s">
        <v>5723</v>
      </c>
      <c r="L71" s="113" t="s">
        <v>5509</v>
      </c>
      <c r="M71" s="113"/>
      <c r="N71" s="113" t="s">
        <v>23</v>
      </c>
      <c r="O71" s="113"/>
      <c r="P71" s="113"/>
      <c r="Q71" s="113"/>
    </row>
    <row r="72">
      <c r="A72" s="249">
        <v>1690.0</v>
      </c>
      <c r="B72" s="271" t="s">
        <v>5709</v>
      </c>
      <c r="C72" s="113" t="str">
        <f>IFERROR(__xludf.DUMMYFUNCTION("GOOGLETRANSLATE(B72)"),"CO2 emissions reduction order")</f>
        <v>CO2 emissions reduction order</v>
      </c>
      <c r="D72" s="113" t="s">
        <v>5705</v>
      </c>
      <c r="E72" s="113" t="s">
        <v>5706</v>
      </c>
      <c r="F72" s="248" t="s">
        <v>708</v>
      </c>
      <c r="G72" s="248"/>
      <c r="H72" s="248">
        <v>2012.0</v>
      </c>
      <c r="I72" s="248" t="s">
        <v>811</v>
      </c>
      <c r="J72" s="113" t="s">
        <v>5724</v>
      </c>
      <c r="K72" s="250" t="s">
        <v>5725</v>
      </c>
      <c r="L72" s="113" t="s">
        <v>5509</v>
      </c>
      <c r="M72" s="113"/>
      <c r="N72" s="113" t="s">
        <v>23</v>
      </c>
      <c r="O72" s="113"/>
      <c r="P72" s="113"/>
      <c r="Q72" s="113"/>
    </row>
    <row r="73">
      <c r="A73" s="249">
        <v>1690.0</v>
      </c>
      <c r="B73" s="271" t="s">
        <v>5726</v>
      </c>
      <c r="C73" s="113" t="str">
        <f>IFERROR(__xludf.DUMMYFUNCTION("GOOGLETRANSLATE(B73)"),"Ordinance on the Reduction of CO2 Emissions")</f>
        <v>Ordinance on the Reduction of CO2 Emissions</v>
      </c>
      <c r="D73" s="113" t="s">
        <v>5705</v>
      </c>
      <c r="E73" s="113" t="s">
        <v>5706</v>
      </c>
      <c r="F73" s="248" t="s">
        <v>708</v>
      </c>
      <c r="G73" s="248"/>
      <c r="H73" s="248">
        <v>2012.0</v>
      </c>
      <c r="I73" s="248" t="s">
        <v>24</v>
      </c>
      <c r="J73" s="113" t="s">
        <v>5727</v>
      </c>
      <c r="K73" s="250" t="s">
        <v>5728</v>
      </c>
      <c r="L73" s="113" t="s">
        <v>5509</v>
      </c>
      <c r="M73" s="113"/>
      <c r="N73" s="113" t="s">
        <v>23</v>
      </c>
      <c r="O73" s="113"/>
      <c r="P73" s="113"/>
      <c r="Q73" s="113"/>
    </row>
    <row r="74">
      <c r="A74" s="249">
        <v>1691.0</v>
      </c>
      <c r="B74" s="273" t="s">
        <v>5729</v>
      </c>
      <c r="C74" s="248" t="s">
        <v>5730</v>
      </c>
      <c r="D74" s="113" t="s">
        <v>5705</v>
      </c>
      <c r="E74" s="113" t="s">
        <v>5706</v>
      </c>
      <c r="F74" s="248" t="s">
        <v>708</v>
      </c>
      <c r="G74" s="255"/>
      <c r="H74" s="255"/>
      <c r="I74" s="248" t="s">
        <v>1470</v>
      </c>
      <c r="J74" s="113" t="s">
        <v>5731</v>
      </c>
      <c r="K74" s="250" t="s">
        <v>5732</v>
      </c>
      <c r="L74" s="113" t="s">
        <v>5509</v>
      </c>
      <c r="M74" s="113"/>
      <c r="N74" s="113" t="s">
        <v>23</v>
      </c>
      <c r="O74" s="113"/>
      <c r="P74" s="113"/>
      <c r="Q74" s="113"/>
    </row>
    <row r="75">
      <c r="A75" s="249">
        <v>1691.0</v>
      </c>
      <c r="B75" s="271" t="s">
        <v>5733</v>
      </c>
      <c r="C75" s="113" t="str">
        <f>IFERROR(__xludf.DUMMYFUNCTION("GOOGLETRANSLATE(B75)"),"Order on the imposition of mineral oils")</f>
        <v>Order on the imposition of mineral oils</v>
      </c>
      <c r="D75" s="113" t="s">
        <v>5705</v>
      </c>
      <c r="E75" s="113" t="s">
        <v>5706</v>
      </c>
      <c r="F75" s="248" t="s">
        <v>708</v>
      </c>
      <c r="G75" s="248"/>
      <c r="H75" s="248">
        <v>2017.0</v>
      </c>
      <c r="I75" s="248" t="s">
        <v>811</v>
      </c>
      <c r="J75" s="113" t="s">
        <v>5734</v>
      </c>
      <c r="K75" s="250" t="s">
        <v>5735</v>
      </c>
      <c r="L75" s="113" t="s">
        <v>5509</v>
      </c>
      <c r="M75" s="113"/>
      <c r="N75" s="113" t="s">
        <v>23</v>
      </c>
      <c r="O75" s="113"/>
      <c r="P75" s="113"/>
      <c r="Q75" s="113"/>
    </row>
    <row r="76">
      <c r="A76" s="249">
        <v>1692.0</v>
      </c>
      <c r="B76" s="259" t="s">
        <v>5736</v>
      </c>
      <c r="C76" s="113" t="str">
        <f>IFERROR(__xludf.DUMMYFUNCTION("GOOGLETRANSLATE(B76)"),"Federal Law on a power -dependent heavy traffic tax")</f>
        <v>Federal Law on a power -dependent heavy traffic tax</v>
      </c>
      <c r="D76" s="113" t="s">
        <v>5705</v>
      </c>
      <c r="E76" s="113" t="s">
        <v>5706</v>
      </c>
      <c r="F76" s="248" t="s">
        <v>41</v>
      </c>
      <c r="G76" s="248"/>
      <c r="H76" s="248">
        <v>1997.0</v>
      </c>
      <c r="I76" s="248" t="s">
        <v>1470</v>
      </c>
      <c r="J76" s="113" t="s">
        <v>5737</v>
      </c>
      <c r="K76" s="250" t="s">
        <v>5738</v>
      </c>
      <c r="L76" s="113" t="s">
        <v>5509</v>
      </c>
      <c r="M76" s="113"/>
      <c r="N76" s="113" t="s">
        <v>23</v>
      </c>
      <c r="O76" s="113"/>
      <c r="P76" s="113"/>
      <c r="Q76" s="113"/>
    </row>
    <row r="77">
      <c r="A77" s="249">
        <v>1692.0</v>
      </c>
      <c r="B77" s="259" t="s">
        <v>5739</v>
      </c>
      <c r="C77" s="113" t="str">
        <f>IFERROR(__xludf.DUMMYFUNCTION("GOOGLETRANSLATE(B77)"),"Federal law concerning a fee on heavy goods vehicles linked to the benefits")</f>
        <v>Federal law concerning a fee on heavy goods vehicles linked to the benefits</v>
      </c>
      <c r="D77" s="113" t="s">
        <v>5705</v>
      </c>
      <c r="E77" s="113" t="s">
        <v>5706</v>
      </c>
      <c r="F77" s="248" t="s">
        <v>41</v>
      </c>
      <c r="G77" s="248"/>
      <c r="H77" s="248">
        <v>1997.0</v>
      </c>
      <c r="I77" s="248" t="s">
        <v>811</v>
      </c>
      <c r="J77" s="113" t="s">
        <v>5740</v>
      </c>
      <c r="K77" s="250" t="s">
        <v>5741</v>
      </c>
      <c r="L77" s="113" t="s">
        <v>5509</v>
      </c>
      <c r="M77" s="113"/>
      <c r="N77" s="113" t="s">
        <v>23</v>
      </c>
      <c r="O77" s="113"/>
      <c r="P77" s="113"/>
      <c r="Q77" s="113"/>
    </row>
    <row r="78">
      <c r="A78" s="249">
        <v>1693.0</v>
      </c>
      <c r="B78" s="271" t="s">
        <v>5742</v>
      </c>
      <c r="C78" s="113" t="str">
        <f>IFERROR(__xludf.DUMMYFUNCTION("GOOGLETRANSLATE(B78)"),"Energy law")</f>
        <v>Energy law</v>
      </c>
      <c r="D78" s="113" t="s">
        <v>5705</v>
      </c>
      <c r="E78" s="113" t="s">
        <v>5706</v>
      </c>
      <c r="F78" s="248" t="s">
        <v>41</v>
      </c>
      <c r="G78" s="248"/>
      <c r="H78" s="248">
        <v>2016.0</v>
      </c>
      <c r="I78" s="248" t="s">
        <v>1470</v>
      </c>
      <c r="J78" s="113" t="s">
        <v>5743</v>
      </c>
      <c r="K78" s="250" t="s">
        <v>5744</v>
      </c>
      <c r="L78" s="113" t="s">
        <v>5509</v>
      </c>
      <c r="M78" s="113"/>
      <c r="N78" s="113" t="s">
        <v>23</v>
      </c>
      <c r="O78" s="113"/>
      <c r="P78" s="113"/>
      <c r="Q78" s="113"/>
    </row>
    <row r="79">
      <c r="A79" s="249">
        <v>1693.0</v>
      </c>
      <c r="B79" s="271" t="s">
        <v>5745</v>
      </c>
      <c r="C79" s="113" t="str">
        <f>IFERROR(__xludf.DUMMYFUNCTION("GOOGLETRANSLATE(B79)"),"Energy law*")</f>
        <v>Energy law*</v>
      </c>
      <c r="D79" s="113" t="s">
        <v>5705</v>
      </c>
      <c r="E79" s="113" t="s">
        <v>5706</v>
      </c>
      <c r="F79" s="248" t="s">
        <v>41</v>
      </c>
      <c r="G79" s="248"/>
      <c r="H79" s="248">
        <v>2016.0</v>
      </c>
      <c r="I79" s="248" t="s">
        <v>811</v>
      </c>
      <c r="J79" s="113" t="s">
        <v>5746</v>
      </c>
      <c r="K79" s="250" t="s">
        <v>5747</v>
      </c>
      <c r="L79" s="113" t="s">
        <v>5509</v>
      </c>
      <c r="M79" s="113"/>
      <c r="N79" s="113" t="s">
        <v>23</v>
      </c>
      <c r="O79" s="113"/>
      <c r="P79" s="113"/>
      <c r="Q79" s="113"/>
    </row>
    <row r="80">
      <c r="A80" s="249">
        <v>1693.0</v>
      </c>
      <c r="B80" s="277" t="s">
        <v>5745</v>
      </c>
      <c r="C80" s="113" t="str">
        <f>IFERROR(__xludf.DUMMYFUNCTION("GOOGLETRANSLATE(B80)"),"Energy law*")</f>
        <v>Energy law*</v>
      </c>
      <c r="D80" s="113" t="s">
        <v>5705</v>
      </c>
      <c r="E80" s="113" t="s">
        <v>5706</v>
      </c>
      <c r="F80" s="248" t="s">
        <v>41</v>
      </c>
      <c r="G80" s="248"/>
      <c r="H80" s="248">
        <v>2016.0</v>
      </c>
      <c r="I80" s="248" t="s">
        <v>811</v>
      </c>
      <c r="J80" s="113" t="s">
        <v>5748</v>
      </c>
      <c r="K80" s="250" t="s">
        <v>5749</v>
      </c>
      <c r="L80" s="113" t="s">
        <v>5509</v>
      </c>
      <c r="M80" s="113"/>
      <c r="N80" s="252" t="s">
        <v>229</v>
      </c>
      <c r="O80" s="113"/>
      <c r="P80" s="113"/>
      <c r="Q80" s="113"/>
    </row>
    <row r="81">
      <c r="A81" s="249">
        <v>1693.0</v>
      </c>
      <c r="B81" s="277" t="s">
        <v>5750</v>
      </c>
      <c r="C81" s="113"/>
      <c r="D81" s="113" t="s">
        <v>5705</v>
      </c>
      <c r="E81" s="113" t="s">
        <v>5706</v>
      </c>
      <c r="F81" s="248" t="s">
        <v>708</v>
      </c>
      <c r="G81" s="248"/>
      <c r="H81" s="248">
        <v>2017.0</v>
      </c>
      <c r="I81" s="248" t="s">
        <v>811</v>
      </c>
      <c r="J81" s="113" t="s">
        <v>5751</v>
      </c>
      <c r="K81" s="250" t="s">
        <v>5752</v>
      </c>
      <c r="L81" s="113" t="s">
        <v>5509</v>
      </c>
      <c r="M81" s="113"/>
      <c r="N81" s="252" t="s">
        <v>229</v>
      </c>
      <c r="O81" s="113"/>
      <c r="P81" s="113"/>
      <c r="Q81" s="113"/>
    </row>
    <row r="82">
      <c r="A82" s="249">
        <v>1694.0</v>
      </c>
      <c r="B82" s="271" t="s">
        <v>5753</v>
      </c>
      <c r="C82" s="113" t="str">
        <f>IFERROR(__xludf.DUMMYFUNCTION("GOOGLETRANSLATE(B82)"),"Federal Act on the Forest")</f>
        <v>Federal Act on the Forest</v>
      </c>
      <c r="D82" s="113" t="s">
        <v>5705</v>
      </c>
      <c r="E82" s="113" t="s">
        <v>5706</v>
      </c>
      <c r="F82" s="248" t="s">
        <v>41</v>
      </c>
      <c r="G82" s="248"/>
      <c r="H82" s="248">
        <v>1991.0</v>
      </c>
      <c r="I82" s="248" t="s">
        <v>1470</v>
      </c>
      <c r="J82" s="113" t="s">
        <v>5754</v>
      </c>
      <c r="K82" s="250" t="s">
        <v>5755</v>
      </c>
      <c r="L82" s="113" t="s">
        <v>5509</v>
      </c>
      <c r="M82" s="113"/>
      <c r="N82" s="113" t="s">
        <v>23</v>
      </c>
      <c r="O82" s="113"/>
      <c r="P82" s="113"/>
      <c r="Q82" s="113"/>
    </row>
    <row r="83">
      <c r="A83" s="249">
        <v>1694.0</v>
      </c>
      <c r="B83" s="271" t="s">
        <v>5756</v>
      </c>
      <c r="C83" s="113" t="str">
        <f>IFERROR(__xludf.DUMMYFUNCTION("GOOGLETRANSLATE(B83)"),"Federal Forest Law")</f>
        <v>Federal Forest Law</v>
      </c>
      <c r="D83" s="113" t="s">
        <v>5705</v>
      </c>
      <c r="E83" s="113" t="s">
        <v>5706</v>
      </c>
      <c r="F83" s="248" t="s">
        <v>41</v>
      </c>
      <c r="G83" s="248"/>
      <c r="H83" s="248">
        <v>1991.0</v>
      </c>
      <c r="I83" s="248" t="s">
        <v>811</v>
      </c>
      <c r="J83" s="113" t="s">
        <v>5757</v>
      </c>
      <c r="K83" s="250" t="s">
        <v>5758</v>
      </c>
      <c r="L83" s="113" t="s">
        <v>5509</v>
      </c>
      <c r="M83" s="113"/>
      <c r="N83" s="113" t="s">
        <v>23</v>
      </c>
      <c r="O83" s="113"/>
      <c r="P83" s="113"/>
      <c r="Q83" s="113"/>
    </row>
    <row r="84">
      <c r="A84" s="249">
        <v>1694.0</v>
      </c>
      <c r="B84" s="271" t="s">
        <v>5759</v>
      </c>
      <c r="C84" s="1" t="s">
        <v>5759</v>
      </c>
      <c r="D84" s="113" t="s">
        <v>5705</v>
      </c>
      <c r="E84" s="113" t="s">
        <v>5706</v>
      </c>
      <c r="F84" s="248" t="s">
        <v>41</v>
      </c>
      <c r="G84" s="248"/>
      <c r="H84" s="248">
        <v>1991.0</v>
      </c>
      <c r="I84" s="248" t="s">
        <v>24</v>
      </c>
      <c r="J84" s="113" t="s">
        <v>5760</v>
      </c>
      <c r="K84" s="250" t="s">
        <v>5761</v>
      </c>
      <c r="L84" s="113" t="s">
        <v>5509</v>
      </c>
      <c r="M84" s="113"/>
      <c r="N84" s="113" t="s">
        <v>23</v>
      </c>
      <c r="O84" s="113"/>
      <c r="P84" s="113"/>
      <c r="Q84" s="113"/>
    </row>
    <row r="85">
      <c r="A85" s="253">
        <v>10049.0</v>
      </c>
      <c r="B85" s="278" t="s">
        <v>5762</v>
      </c>
      <c r="C85" s="255"/>
      <c r="D85" s="255" t="s">
        <v>5705</v>
      </c>
      <c r="E85" s="255" t="s">
        <v>5706</v>
      </c>
      <c r="F85" s="256" t="s">
        <v>144</v>
      </c>
      <c r="G85" s="256"/>
      <c r="H85" s="256">
        <v>2021.0</v>
      </c>
      <c r="I85" s="256" t="s">
        <v>24</v>
      </c>
      <c r="J85" s="255" t="s">
        <v>5763</v>
      </c>
      <c r="K85" s="257" t="s">
        <v>5764</v>
      </c>
      <c r="L85" s="255" t="s">
        <v>5509</v>
      </c>
      <c r="M85" s="255"/>
      <c r="N85" s="260" t="s">
        <v>839</v>
      </c>
      <c r="O85" s="256" t="s">
        <v>5765</v>
      </c>
      <c r="P85" s="255"/>
      <c r="Q85" s="255"/>
      <c r="R85" s="3"/>
      <c r="S85" s="3"/>
      <c r="T85" s="3"/>
      <c r="U85" s="3"/>
      <c r="V85" s="3"/>
      <c r="W85" s="3"/>
      <c r="X85" s="3"/>
      <c r="Y85" s="3"/>
      <c r="Z85" s="3"/>
      <c r="AA85" s="3"/>
      <c r="AB85" s="3"/>
    </row>
    <row r="86">
      <c r="A86" s="253">
        <v>10049.0</v>
      </c>
      <c r="B86" s="270" t="s">
        <v>5766</v>
      </c>
      <c r="C86" s="255"/>
      <c r="D86" s="255" t="s">
        <v>5705</v>
      </c>
      <c r="E86" s="255" t="s">
        <v>5706</v>
      </c>
      <c r="F86" s="256" t="s">
        <v>144</v>
      </c>
      <c r="G86" s="256"/>
      <c r="H86" s="256">
        <v>2018.0</v>
      </c>
      <c r="I86" s="256" t="s">
        <v>24</v>
      </c>
      <c r="J86" s="255" t="s">
        <v>5767</v>
      </c>
      <c r="K86" s="257" t="s">
        <v>5768</v>
      </c>
      <c r="L86" s="255" t="s">
        <v>5509</v>
      </c>
      <c r="M86" s="255"/>
      <c r="N86" s="255" t="s">
        <v>23</v>
      </c>
      <c r="O86" s="256" t="s">
        <v>5769</v>
      </c>
      <c r="P86" s="255"/>
      <c r="Q86" s="255"/>
      <c r="R86" s="3"/>
      <c r="S86" s="3"/>
      <c r="T86" s="3"/>
      <c r="U86" s="3"/>
      <c r="V86" s="3"/>
      <c r="W86" s="3"/>
      <c r="X86" s="3"/>
      <c r="Y86" s="3"/>
      <c r="Z86" s="3"/>
      <c r="AA86" s="3"/>
      <c r="AB86" s="3"/>
    </row>
    <row r="87">
      <c r="A87" s="249">
        <v>1695.0</v>
      </c>
      <c r="B87" s="271" t="s">
        <v>5770</v>
      </c>
      <c r="C87" s="113" t="str">
        <f>IFERROR(__xludf.DUMMYFUNCTION("GOOGLETRANSLATE(B87)"),"Law on the use of renewable energy sources")</f>
        <v>Law on the use of renewable energy sources</v>
      </c>
      <c r="D87" s="113" t="s">
        <v>5771</v>
      </c>
      <c r="E87" s="113" t="s">
        <v>5772</v>
      </c>
      <c r="F87" s="248" t="s">
        <v>41</v>
      </c>
      <c r="G87" s="248"/>
      <c r="H87" s="248">
        <v>2010.0</v>
      </c>
      <c r="I87" s="248" t="s">
        <v>347</v>
      </c>
      <c r="J87" s="113" t="s">
        <v>5773</v>
      </c>
      <c r="K87" s="250" t="s">
        <v>5774</v>
      </c>
      <c r="L87" s="113" t="s">
        <v>5509</v>
      </c>
      <c r="M87" s="113"/>
      <c r="N87" s="113" t="s">
        <v>23</v>
      </c>
      <c r="O87" s="113"/>
      <c r="P87" s="113"/>
      <c r="Q87" s="113"/>
    </row>
    <row r="88">
      <c r="A88" s="253">
        <v>1695.0</v>
      </c>
      <c r="B88" s="270" t="s">
        <v>5775</v>
      </c>
      <c r="C88" s="255"/>
      <c r="D88" s="255" t="s">
        <v>5771</v>
      </c>
      <c r="E88" s="255" t="s">
        <v>5772</v>
      </c>
      <c r="F88" s="256" t="s">
        <v>41</v>
      </c>
      <c r="G88" s="256"/>
      <c r="H88" s="256">
        <v>2010.0</v>
      </c>
      <c r="I88" s="256" t="s">
        <v>24</v>
      </c>
      <c r="J88" s="255" t="s">
        <v>5776</v>
      </c>
      <c r="K88" s="257" t="s">
        <v>5777</v>
      </c>
      <c r="L88" s="255" t="s">
        <v>5509</v>
      </c>
      <c r="M88" s="255"/>
      <c r="N88" s="255" t="s">
        <v>23</v>
      </c>
      <c r="O88" s="256" t="s">
        <v>5778</v>
      </c>
      <c r="P88" s="255"/>
      <c r="Q88" s="255"/>
      <c r="R88" s="3"/>
      <c r="S88" s="3"/>
      <c r="T88" s="3"/>
      <c r="U88" s="3"/>
      <c r="V88" s="3"/>
      <c r="W88" s="3"/>
      <c r="X88" s="3"/>
      <c r="Y88" s="3"/>
      <c r="Z88" s="3"/>
      <c r="AA88" s="3"/>
      <c r="AB88" s="3"/>
    </row>
    <row r="89">
      <c r="A89" s="249">
        <v>1704.0</v>
      </c>
      <c r="B89" s="271" t="s">
        <v>1614</v>
      </c>
      <c r="C89" s="1" t="s">
        <v>1614</v>
      </c>
      <c r="D89" s="113" t="s">
        <v>5779</v>
      </c>
      <c r="E89" s="113" t="s">
        <v>5780</v>
      </c>
      <c r="F89" s="248" t="s">
        <v>144</v>
      </c>
      <c r="G89" s="248"/>
      <c r="H89" s="248">
        <v>2012.0</v>
      </c>
      <c r="I89" s="248" t="s">
        <v>24</v>
      </c>
      <c r="J89" s="113" t="s">
        <v>5781</v>
      </c>
      <c r="K89" s="250" t="s">
        <v>5782</v>
      </c>
      <c r="L89" s="113" t="s">
        <v>5509</v>
      </c>
      <c r="M89" s="113"/>
      <c r="N89" s="113" t="s">
        <v>23</v>
      </c>
      <c r="O89" s="113"/>
      <c r="P89" s="113"/>
      <c r="Q89" s="113"/>
    </row>
    <row r="90">
      <c r="A90" s="249">
        <v>1704.0</v>
      </c>
      <c r="B90" s="271" t="s">
        <v>5783</v>
      </c>
      <c r="C90" s="113" t="str">
        <f>IFERROR(__xludf.DUMMYFUNCTION("GOOGLETRANSLATE(B90)"),"NATIONAL CLIMATE CHANGE RESPONSE STRATEGY 2021-2026")</f>
        <v>NATIONAL CLIMATE CHANGE RESPONSE STRATEGY 2021-2026</v>
      </c>
      <c r="D90" s="113" t="s">
        <v>5779</v>
      </c>
      <c r="E90" s="113" t="s">
        <v>5780</v>
      </c>
      <c r="F90" s="248" t="s">
        <v>144</v>
      </c>
      <c r="G90" s="248"/>
      <c r="H90" s="248">
        <v>2021.0</v>
      </c>
      <c r="I90" s="248" t="s">
        <v>24</v>
      </c>
      <c r="J90" s="113" t="s">
        <v>5784</v>
      </c>
      <c r="K90" s="250" t="s">
        <v>5785</v>
      </c>
      <c r="L90" s="113" t="s">
        <v>5509</v>
      </c>
      <c r="M90" s="113"/>
      <c r="N90" s="113" t="s">
        <v>23</v>
      </c>
      <c r="O90" s="113"/>
      <c r="P90" s="113"/>
      <c r="Q90" s="113"/>
    </row>
    <row r="91">
      <c r="A91" s="249">
        <v>1710.0</v>
      </c>
      <c r="B91" s="271" t="s">
        <v>5786</v>
      </c>
      <c r="C91" s="113" t="str">
        <f>IFERROR(__xludf.DUMMYFUNCTION("GOOGLETRANSLATE(B91)"),"Royal Decree: Establishing a greenhouse gas management organization (Public organization)")</f>
        <v>Royal Decree: Establishing a greenhouse gas management organization (Public organization)</v>
      </c>
      <c r="D91" s="113" t="s">
        <v>5787</v>
      </c>
      <c r="E91" s="113" t="s">
        <v>5788</v>
      </c>
      <c r="F91" s="248" t="s">
        <v>18</v>
      </c>
      <c r="G91" s="248"/>
      <c r="H91" s="248">
        <v>2007.0</v>
      </c>
      <c r="I91" s="248" t="s">
        <v>5789</v>
      </c>
      <c r="J91" s="113" t="s">
        <v>5790</v>
      </c>
      <c r="K91" s="250" t="s">
        <v>5791</v>
      </c>
      <c r="L91" s="113" t="s">
        <v>5509</v>
      </c>
      <c r="M91" s="113"/>
      <c r="N91" s="113" t="s">
        <v>23</v>
      </c>
      <c r="O91" s="113"/>
      <c r="P91" s="113"/>
      <c r="Q91" s="113"/>
    </row>
    <row r="92">
      <c r="A92" s="249">
        <v>1710.0</v>
      </c>
      <c r="B92" s="271" t="s">
        <v>5792</v>
      </c>
      <c r="C92" s="113" t="str">
        <f>IFERROR(__xludf.DUMMYFUNCTION("GOOGLETRANSLATE(B92)"),"Royal Decree: Establishing a greenhouse gas management organization (Public organization)")</f>
        <v>Royal Decree: Establishing a greenhouse gas management organization (Public organization)</v>
      </c>
      <c r="D92" s="113" t="s">
        <v>5787</v>
      </c>
      <c r="E92" s="113" t="s">
        <v>5788</v>
      </c>
      <c r="F92" s="248" t="s">
        <v>18</v>
      </c>
      <c r="G92" s="248"/>
      <c r="H92" s="248">
        <v>2007.0</v>
      </c>
      <c r="I92" s="248" t="s">
        <v>24</v>
      </c>
      <c r="J92" s="113" t="s">
        <v>5793</v>
      </c>
      <c r="K92" s="250" t="s">
        <v>5794</v>
      </c>
      <c r="L92" s="113" t="s">
        <v>5509</v>
      </c>
      <c r="M92" s="113"/>
      <c r="N92" s="113" t="s">
        <v>23</v>
      </c>
      <c r="O92" s="113"/>
      <c r="P92" s="113"/>
      <c r="Q92" s="113"/>
    </row>
    <row r="93">
      <c r="A93" s="249">
        <v>1712.0</v>
      </c>
      <c r="B93" s="271" t="s">
        <v>5795</v>
      </c>
      <c r="C93" s="113" t="str">
        <f>IFERROR(__xludf.DUMMYFUNCTION("GOOGLETRANSLATE(B93)"),"The Energy Conservation Promotion Act B.E. 2535")</f>
        <v>The Energy Conservation Promotion Act B.E. 2535</v>
      </c>
      <c r="D93" s="113" t="s">
        <v>5787</v>
      </c>
      <c r="E93" s="113" t="s">
        <v>5788</v>
      </c>
      <c r="F93" s="248" t="s">
        <v>45</v>
      </c>
      <c r="G93" s="248"/>
      <c r="H93" s="248">
        <v>1992.0</v>
      </c>
      <c r="I93" s="248" t="s">
        <v>24</v>
      </c>
      <c r="J93" s="113" t="s">
        <v>5796</v>
      </c>
      <c r="K93" s="250" t="s">
        <v>5797</v>
      </c>
      <c r="L93" s="113" t="s">
        <v>5509</v>
      </c>
      <c r="M93" s="113"/>
      <c r="N93" s="113" t="s">
        <v>23</v>
      </c>
      <c r="O93" s="113"/>
      <c r="P93" s="113"/>
      <c r="Q93" s="113"/>
    </row>
    <row r="94">
      <c r="A94" s="249">
        <v>1712.0</v>
      </c>
      <c r="B94" s="271" t="s">
        <v>5798</v>
      </c>
      <c r="C94" s="113" t="str">
        <f>IFERROR(__xludf.DUMMYFUNCTION("GOOGLETRANSLATE(B94)"),"Energy Conservation Promotion Act")</f>
        <v>Energy Conservation Promotion Act</v>
      </c>
      <c r="D94" s="113" t="s">
        <v>5787</v>
      </c>
      <c r="E94" s="113" t="s">
        <v>5788</v>
      </c>
      <c r="F94" s="248" t="s">
        <v>45</v>
      </c>
      <c r="G94" s="248"/>
      <c r="H94" s="248">
        <v>2007.0</v>
      </c>
      <c r="I94" s="248" t="s">
        <v>24</v>
      </c>
      <c r="J94" s="113" t="s">
        <v>5799</v>
      </c>
      <c r="K94" s="250" t="s">
        <v>5800</v>
      </c>
      <c r="L94" s="113" t="s">
        <v>5509</v>
      </c>
      <c r="M94" s="113"/>
      <c r="N94" s="113" t="s">
        <v>23</v>
      </c>
      <c r="O94" s="113"/>
      <c r="P94" s="113"/>
      <c r="Q94" s="113"/>
    </row>
    <row r="95">
      <c r="A95" s="249">
        <v>10379.0</v>
      </c>
      <c r="B95" s="259" t="s">
        <v>5801</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5802</v>
      </c>
      <c r="E95" s="113" t="s">
        <v>5803</v>
      </c>
      <c r="F95" s="248" t="s">
        <v>18</v>
      </c>
      <c r="G95" s="248"/>
      <c r="H95" s="248">
        <v>1993.0</v>
      </c>
      <c r="I95" s="248" t="s">
        <v>811</v>
      </c>
      <c r="J95" s="113" t="s">
        <v>5804</v>
      </c>
      <c r="K95" s="250" t="s">
        <v>5805</v>
      </c>
      <c r="L95" s="113" t="s">
        <v>5509</v>
      </c>
      <c r="M95" s="113"/>
      <c r="N95" s="113" t="s">
        <v>37</v>
      </c>
      <c r="O95" s="113"/>
      <c r="P95" s="113"/>
      <c r="Q95" s="113"/>
    </row>
    <row r="96">
      <c r="A96" s="249">
        <v>10379.0</v>
      </c>
      <c r="B96" s="259" t="s">
        <v>5806</v>
      </c>
      <c r="C96" s="113"/>
      <c r="D96" s="113" t="s">
        <v>5802</v>
      </c>
      <c r="E96" s="113" t="s">
        <v>5803</v>
      </c>
      <c r="F96" s="248" t="s">
        <v>41</v>
      </c>
      <c r="G96" s="248"/>
      <c r="H96" s="248">
        <v>1991.0</v>
      </c>
      <c r="I96" s="248" t="s">
        <v>811</v>
      </c>
      <c r="J96" s="113" t="s">
        <v>5807</v>
      </c>
      <c r="K96" s="250" t="s">
        <v>5808</v>
      </c>
      <c r="L96" s="113" t="s">
        <v>5509</v>
      </c>
      <c r="M96" s="113"/>
      <c r="N96" s="113" t="s">
        <v>275</v>
      </c>
      <c r="O96" s="113"/>
      <c r="P96" s="113"/>
      <c r="Q96" s="113"/>
    </row>
    <row r="97">
      <c r="A97" s="249">
        <v>10381.0</v>
      </c>
      <c r="B97" s="279" t="s">
        <v>5809</v>
      </c>
      <c r="C97" s="113" t="str">
        <f>IFERROR(__xludf.DUMMYFUNCTION("GOOGLETRANSLATE(B97)"),"National strategy and action plan for
Biodiversity 2018-2030")</f>
        <v>National strategy and action plan for
Biodiversity 2018-2030</v>
      </c>
      <c r="D97" s="113" t="s">
        <v>5802</v>
      </c>
      <c r="E97" s="113" t="s">
        <v>5803</v>
      </c>
      <c r="F97" s="248" t="s">
        <v>144</v>
      </c>
      <c r="G97" s="248"/>
      <c r="H97" s="248">
        <v>2018.0</v>
      </c>
      <c r="I97" s="248" t="s">
        <v>811</v>
      </c>
      <c r="J97" s="113" t="s">
        <v>5810</v>
      </c>
      <c r="K97" s="250" t="s">
        <v>5811</v>
      </c>
      <c r="L97" s="113" t="s">
        <v>5509</v>
      </c>
      <c r="M97" s="113"/>
      <c r="N97" s="113" t="s">
        <v>23</v>
      </c>
      <c r="O97" s="113"/>
      <c r="P97" s="113"/>
      <c r="Q97" s="113"/>
    </row>
    <row r="98">
      <c r="A98" s="249">
        <v>10381.0</v>
      </c>
      <c r="B98" s="280" t="s">
        <v>5812</v>
      </c>
      <c r="C98" s="113" t="str">
        <f>IFERROR(__xludf.DUMMYFUNCTION("GOOGLETRANSLATE(B98)"),"Evolution of national planning in terms of biological diversity")</f>
        <v>Evolution of national planning in terms of biological diversity</v>
      </c>
      <c r="D98" s="113" t="s">
        <v>5802</v>
      </c>
      <c r="E98" s="113" t="s">
        <v>5803</v>
      </c>
      <c r="F98" s="248" t="s">
        <v>234</v>
      </c>
      <c r="G98" s="248"/>
      <c r="H98" s="248">
        <v>2020.0</v>
      </c>
      <c r="I98" s="248" t="s">
        <v>811</v>
      </c>
      <c r="J98" s="250" t="s">
        <v>5813</v>
      </c>
      <c r="K98" s="250" t="s">
        <v>5814</v>
      </c>
      <c r="L98" s="113" t="s">
        <v>5509</v>
      </c>
      <c r="M98" s="113"/>
      <c r="N98" s="252" t="s">
        <v>92</v>
      </c>
      <c r="O98" s="113"/>
      <c r="P98" s="113"/>
      <c r="Q98" s="113"/>
    </row>
    <row r="99">
      <c r="A99" s="249">
        <v>1720.0</v>
      </c>
      <c r="B99" s="259" t="s">
        <v>5815</v>
      </c>
      <c r="C99" s="113" t="str">
        <f>IFERROR(__xludf.DUMMYFUNCTION("GOOGLETRANSLATE(B99)"),"Republic of Turkey Climate Change Action Plan 2011 - 2023")</f>
        <v>Republic of Turkey Climate Change Action Plan 2011 - 2023</v>
      </c>
      <c r="D99" s="113" t="s">
        <v>5310</v>
      </c>
      <c r="E99" s="113" t="s">
        <v>5311</v>
      </c>
      <c r="F99" s="248" t="s">
        <v>234</v>
      </c>
      <c r="G99" s="248"/>
      <c r="H99" s="248">
        <v>2011.0</v>
      </c>
      <c r="I99" s="248" t="s">
        <v>5312</v>
      </c>
      <c r="J99" s="113" t="s">
        <v>5816</v>
      </c>
      <c r="K99" s="250" t="s">
        <v>5817</v>
      </c>
      <c r="L99" s="113" t="s">
        <v>5509</v>
      </c>
      <c r="M99" s="113"/>
      <c r="N99" s="113" t="s">
        <v>23</v>
      </c>
      <c r="O99" s="113"/>
      <c r="P99" s="113"/>
      <c r="Q99" s="113"/>
    </row>
    <row r="100">
      <c r="A100" s="249">
        <v>1720.0</v>
      </c>
      <c r="B100" s="271" t="s">
        <v>5818</v>
      </c>
      <c r="C100" s="113" t="str">
        <f>IFERROR(__xludf.DUMMYFUNCTION("GOOGLETRANSLATE(B100)"),"REPUBLIC OF TURKEY CLIMATE CHANGE ACTION PLAN 2011 - 2023")</f>
        <v>REPUBLIC OF TURKEY CLIMATE CHANGE ACTION PLAN 2011 - 2023</v>
      </c>
      <c r="D100" s="113" t="s">
        <v>5310</v>
      </c>
      <c r="E100" s="113" t="s">
        <v>5311</v>
      </c>
      <c r="F100" s="248" t="s">
        <v>234</v>
      </c>
      <c r="G100" s="248"/>
      <c r="H100" s="248">
        <v>2011.0</v>
      </c>
      <c r="I100" s="248" t="s">
        <v>24</v>
      </c>
      <c r="J100" s="113" t="s">
        <v>5819</v>
      </c>
      <c r="K100" s="250" t="s">
        <v>5820</v>
      </c>
      <c r="L100" s="113" t="s">
        <v>5509</v>
      </c>
      <c r="M100" s="113"/>
      <c r="N100" s="113" t="s">
        <v>23</v>
      </c>
      <c r="O100" s="113"/>
      <c r="P100" s="113"/>
      <c r="Q100" s="113"/>
    </row>
    <row r="101">
      <c r="A101" s="249">
        <v>1722.0</v>
      </c>
      <c r="B101" s="271" t="s">
        <v>5821</v>
      </c>
      <c r="C101" s="113" t="str">
        <f>IFERROR(__xludf.DUMMYFUNCTION("GOOGLETRANSLATE(B101)"),"Geothermal Resources and Natural Mineral Water Law")</f>
        <v>Geothermal Resources and Natural Mineral Water Law</v>
      </c>
      <c r="D101" s="113" t="s">
        <v>5310</v>
      </c>
      <c r="E101" s="113" t="s">
        <v>5311</v>
      </c>
      <c r="F101" s="248" t="s">
        <v>41</v>
      </c>
      <c r="G101" s="248"/>
      <c r="H101" s="248">
        <v>2007.0</v>
      </c>
      <c r="I101" s="248" t="s">
        <v>5312</v>
      </c>
      <c r="J101" s="113" t="s">
        <v>5822</v>
      </c>
      <c r="K101" s="250" t="s">
        <v>5823</v>
      </c>
      <c r="L101" s="113" t="s">
        <v>5509</v>
      </c>
      <c r="M101" s="113"/>
      <c r="N101" s="113" t="s">
        <v>23</v>
      </c>
      <c r="O101" s="113"/>
      <c r="P101" s="113"/>
      <c r="Q101" s="113"/>
    </row>
    <row r="102">
      <c r="A102" s="249">
        <v>1722.0</v>
      </c>
      <c r="B102" s="271" t="s">
        <v>5824</v>
      </c>
      <c r="C102" s="113" t="str">
        <f>IFERROR(__xludf.DUMMYFUNCTION("GOOGLETRANSLATE(B102)"),"LAW ON GEOTHERMAL RESOURCES AND MINERAL WATERS")</f>
        <v>LAW ON GEOTHERMAL RESOURCES AND MINERAL WATERS</v>
      </c>
      <c r="D102" s="113" t="s">
        <v>5310</v>
      </c>
      <c r="E102" s="113" t="s">
        <v>5311</v>
      </c>
      <c r="F102" s="248" t="s">
        <v>41</v>
      </c>
      <c r="G102" s="248"/>
      <c r="H102" s="248">
        <v>2007.0</v>
      </c>
      <c r="I102" s="248" t="s">
        <v>24</v>
      </c>
      <c r="J102" s="113" t="s">
        <v>5825</v>
      </c>
      <c r="K102" s="250" t="s">
        <v>5826</v>
      </c>
      <c r="L102" s="113" t="s">
        <v>5509</v>
      </c>
      <c r="M102" s="113"/>
      <c r="N102" s="113" t="s">
        <v>23</v>
      </c>
      <c r="O102" s="113"/>
      <c r="P102" s="113"/>
      <c r="Q102" s="113"/>
    </row>
    <row r="103">
      <c r="A103" s="249">
        <v>1723.0</v>
      </c>
      <c r="B103" s="259" t="s">
        <v>5827</v>
      </c>
      <c r="C103" s="113" t="str">
        <f>IFERROR(__xludf.DUMMYFUNCTION("GOOGLETRANSLATE(B103)"),"Law on the use of renewable energy resources for the production of electrical energy")</f>
        <v>Law on the use of renewable energy resources for the production of electrical energy</v>
      </c>
      <c r="D103" s="113" t="s">
        <v>5310</v>
      </c>
      <c r="E103" s="113" t="s">
        <v>5311</v>
      </c>
      <c r="F103" s="248" t="s">
        <v>41</v>
      </c>
      <c r="G103" s="248"/>
      <c r="H103" s="248">
        <v>2005.0</v>
      </c>
      <c r="I103" s="248" t="s">
        <v>5312</v>
      </c>
      <c r="J103" s="113" t="s">
        <v>5828</v>
      </c>
      <c r="K103" s="250" t="s">
        <v>5829</v>
      </c>
      <c r="L103" s="113" t="s">
        <v>5509</v>
      </c>
      <c r="M103" s="113"/>
      <c r="N103" s="113" t="s">
        <v>23</v>
      </c>
      <c r="O103" s="113"/>
      <c r="P103" s="113"/>
      <c r="Q103" s="113"/>
    </row>
    <row r="104">
      <c r="A104" s="249">
        <v>1723.0</v>
      </c>
      <c r="B104" s="271" t="s">
        <v>5830</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5310</v>
      </c>
      <c r="E104" s="113" t="s">
        <v>5311</v>
      </c>
      <c r="F104" s="248" t="s">
        <v>41</v>
      </c>
      <c r="G104" s="248"/>
      <c r="H104" s="248">
        <v>2005.0</v>
      </c>
      <c r="I104" s="248" t="s">
        <v>24</v>
      </c>
      <c r="J104" s="113" t="s">
        <v>5831</v>
      </c>
      <c r="K104" s="250" t="s">
        <v>5832</v>
      </c>
      <c r="L104" s="113" t="s">
        <v>5509</v>
      </c>
      <c r="M104" s="113"/>
      <c r="N104" s="113" t="s">
        <v>23</v>
      </c>
      <c r="O104" s="113"/>
      <c r="P104" s="113"/>
      <c r="Q104" s="113"/>
    </row>
    <row r="105">
      <c r="A105" s="249">
        <v>1723.0</v>
      </c>
      <c r="B105" s="259" t="s">
        <v>5833</v>
      </c>
      <c r="C105" s="113" t="str">
        <f>IFERROR(__xludf.DUMMYFUNCTION("GOOGLETRANSLATE(B105)"),"Law on Amendment of Some Laws")</f>
        <v>Law on Amendment of Some Laws</v>
      </c>
      <c r="D105" s="113" t="s">
        <v>5310</v>
      </c>
      <c r="E105" s="113" t="s">
        <v>5311</v>
      </c>
      <c r="F105" s="248" t="s">
        <v>41</v>
      </c>
      <c r="G105" s="248"/>
      <c r="H105" s="248">
        <v>2020.0</v>
      </c>
      <c r="I105" s="248" t="s">
        <v>5312</v>
      </c>
      <c r="J105" s="113" t="s">
        <v>5834</v>
      </c>
      <c r="K105" s="250" t="s">
        <v>5835</v>
      </c>
      <c r="L105" s="113" t="s">
        <v>5509</v>
      </c>
      <c r="M105" s="113"/>
      <c r="N105" s="113" t="s">
        <v>275</v>
      </c>
      <c r="O105" s="113"/>
      <c r="P105" s="113"/>
      <c r="Q105" s="113"/>
    </row>
    <row r="106" hidden="1">
      <c r="A106" s="263">
        <v>1723.0</v>
      </c>
      <c r="B106" s="281"/>
      <c r="C106" s="113" t="str">
        <f>IFERROR(__xludf.DUMMYFUNCTION("GOOGLETRANSLATE(B106)"),"#VALUE!")</f>
        <v>#VALUE!</v>
      </c>
      <c r="D106" s="113" t="s">
        <v>5310</v>
      </c>
      <c r="E106" s="113" t="s">
        <v>5311</v>
      </c>
      <c r="F106" s="248" t="s">
        <v>41</v>
      </c>
      <c r="G106" s="248"/>
      <c r="H106" s="248">
        <v>2020.0</v>
      </c>
      <c r="I106" s="248" t="s">
        <v>5312</v>
      </c>
      <c r="J106" s="113" t="s">
        <v>5836</v>
      </c>
      <c r="K106" s="250" t="s">
        <v>5837</v>
      </c>
      <c r="L106" s="113" t="s">
        <v>5509</v>
      </c>
      <c r="M106" s="266"/>
      <c r="N106" s="266" t="s">
        <v>37</v>
      </c>
      <c r="O106" s="266"/>
      <c r="P106" s="266"/>
      <c r="Q106" s="266"/>
      <c r="R106" s="143"/>
      <c r="S106" s="143"/>
      <c r="T106" s="143"/>
      <c r="U106" s="143"/>
      <c r="V106" s="143"/>
      <c r="W106" s="143"/>
      <c r="X106" s="143"/>
      <c r="Y106" s="143"/>
      <c r="Z106" s="143"/>
      <c r="AA106" s="143"/>
      <c r="AB106" s="143"/>
    </row>
    <row r="107">
      <c r="A107" s="249">
        <v>1723.0</v>
      </c>
      <c r="B107" s="271" t="s">
        <v>5838</v>
      </c>
      <c r="C107" s="113" t="str">
        <f>IFERROR(__xludf.DUMMYFUNCTION("GOOGLETRANSLATE(B107)"),"LAW NO. 6094 AMENDING THE RENEWABLE ENERGY LAW")</f>
        <v>LAW NO. 6094 AMENDING THE RENEWABLE ENERGY LAW</v>
      </c>
      <c r="D107" s="113" t="s">
        <v>5310</v>
      </c>
      <c r="E107" s="113" t="s">
        <v>5311</v>
      </c>
      <c r="F107" s="248" t="s">
        <v>41</v>
      </c>
      <c r="G107" s="248"/>
      <c r="H107" s="248">
        <v>2011.0</v>
      </c>
      <c r="I107" s="248" t="s">
        <v>24</v>
      </c>
      <c r="J107" s="113" t="s">
        <v>5839</v>
      </c>
      <c r="K107" s="250" t="s">
        <v>5840</v>
      </c>
      <c r="L107" s="113" t="s">
        <v>5509</v>
      </c>
      <c r="M107" s="113"/>
      <c r="N107" s="113" t="s">
        <v>37</v>
      </c>
      <c r="O107" s="113"/>
      <c r="P107" s="113"/>
      <c r="Q107" s="113"/>
    </row>
    <row r="108">
      <c r="A108" s="249">
        <v>2001.0</v>
      </c>
      <c r="B108" s="271" t="s">
        <v>5841</v>
      </c>
      <c r="C108" s="113" t="str">
        <f>IFERROR(__xludf.DUMMYFUNCTION("GOOGLETRANSLATE(B108)"),"Turkey Climate Change Strategy")</f>
        <v>Turkey Climate Change Strategy</v>
      </c>
      <c r="D108" s="113" t="s">
        <v>5310</v>
      </c>
      <c r="E108" s="113" t="s">
        <v>5311</v>
      </c>
      <c r="F108" s="248" t="s">
        <v>144</v>
      </c>
      <c r="G108" s="248"/>
      <c r="H108" s="248">
        <v>2011.0</v>
      </c>
      <c r="I108" s="248" t="s">
        <v>5312</v>
      </c>
      <c r="J108" s="113" t="s">
        <v>5842</v>
      </c>
      <c r="K108" s="250" t="s">
        <v>5843</v>
      </c>
      <c r="L108" s="113" t="s">
        <v>5509</v>
      </c>
      <c r="M108" s="113"/>
      <c r="N108" s="113" t="s">
        <v>23</v>
      </c>
      <c r="O108" s="113"/>
      <c r="P108" s="113"/>
      <c r="Q108" s="113"/>
    </row>
    <row r="109">
      <c r="A109" s="249">
        <v>2001.0</v>
      </c>
      <c r="B109" s="271" t="s">
        <v>5844</v>
      </c>
      <c r="C109" s="113" t="str">
        <f>IFERROR(__xludf.DUMMYFUNCTION("GOOGLETRANSLATE(B109)"),"Republic of Turkey Climate Change Strategy 2010-2020")</f>
        <v>Republic of Turkey Climate Change Strategy 2010-2020</v>
      </c>
      <c r="D109" s="113" t="s">
        <v>5310</v>
      </c>
      <c r="E109" s="113" t="s">
        <v>5311</v>
      </c>
      <c r="F109" s="248" t="s">
        <v>144</v>
      </c>
      <c r="G109" s="248"/>
      <c r="H109" s="248">
        <v>2010.0</v>
      </c>
      <c r="I109" s="248" t="s">
        <v>24</v>
      </c>
      <c r="J109" s="113" t="s">
        <v>5845</v>
      </c>
      <c r="K109" s="250" t="s">
        <v>5846</v>
      </c>
      <c r="L109" s="113" t="s">
        <v>5509</v>
      </c>
      <c r="M109" s="113"/>
      <c r="N109" s="113" t="s">
        <v>23</v>
      </c>
      <c r="O109" s="113"/>
      <c r="P109" s="113"/>
      <c r="Q109" s="113"/>
    </row>
    <row r="110" hidden="1">
      <c r="A110" s="263">
        <v>8605.0</v>
      </c>
      <c r="B110" s="272"/>
      <c r="C110" s="266"/>
      <c r="D110" s="266" t="s">
        <v>5310</v>
      </c>
      <c r="E110" s="266" t="s">
        <v>5311</v>
      </c>
      <c r="F110" s="266"/>
      <c r="G110" s="266"/>
      <c r="H110" s="266"/>
      <c r="I110" s="266"/>
      <c r="J110" s="266" t="s">
        <v>5847</v>
      </c>
      <c r="K110" s="268" t="s">
        <v>5848</v>
      </c>
      <c r="L110" s="266" t="s">
        <v>5509</v>
      </c>
      <c r="M110" s="266"/>
      <c r="N110" s="269" t="s">
        <v>92</v>
      </c>
      <c r="O110" s="267" t="s">
        <v>5849</v>
      </c>
      <c r="P110" s="266"/>
      <c r="Q110" s="266"/>
      <c r="R110" s="143"/>
      <c r="S110" s="143"/>
      <c r="T110" s="143"/>
      <c r="U110" s="143"/>
      <c r="V110" s="143"/>
      <c r="W110" s="143"/>
      <c r="X110" s="143"/>
      <c r="Y110" s="143"/>
      <c r="Z110" s="143"/>
      <c r="AA110" s="143"/>
      <c r="AB110" s="143"/>
    </row>
    <row r="111">
      <c r="A111" s="263">
        <v>8605.0</v>
      </c>
      <c r="B111" s="281" t="s">
        <v>5850</v>
      </c>
      <c r="C111" s="266" t="str">
        <f>IFERROR(__xludf.DUMMYFUNCTION("GOOGLETRANSLATE(B111)"),"Law on Change in Some Laws")</f>
        <v>Law on Change in Some Laws</v>
      </c>
      <c r="D111" s="113" t="s">
        <v>5310</v>
      </c>
      <c r="E111" s="113" t="s">
        <v>5311</v>
      </c>
      <c r="F111" s="248" t="s">
        <v>41</v>
      </c>
      <c r="G111" s="248"/>
      <c r="H111" s="248">
        <v>2020.0</v>
      </c>
      <c r="I111" s="248" t="s">
        <v>5312</v>
      </c>
      <c r="J111" s="113" t="s">
        <v>5851</v>
      </c>
      <c r="K111" s="250" t="s">
        <v>5852</v>
      </c>
      <c r="L111" s="113" t="s">
        <v>5509</v>
      </c>
      <c r="M111" s="113"/>
      <c r="N111" s="113" t="s">
        <v>23</v>
      </c>
      <c r="O111" s="248" t="s">
        <v>5853</v>
      </c>
      <c r="P111" s="113"/>
      <c r="Q111" s="113"/>
    </row>
    <row r="112">
      <c r="A112" s="249">
        <v>9450.0</v>
      </c>
      <c r="B112" s="271" t="s">
        <v>5854</v>
      </c>
      <c r="C112" s="259" t="s">
        <v>5855</v>
      </c>
      <c r="D112" s="113" t="s">
        <v>5310</v>
      </c>
      <c r="E112" s="113" t="s">
        <v>5311</v>
      </c>
      <c r="F112" s="248" t="s">
        <v>34</v>
      </c>
      <c r="G112" s="248"/>
      <c r="H112" s="248">
        <v>2016.0</v>
      </c>
      <c r="I112" s="248" t="s">
        <v>5312</v>
      </c>
      <c r="J112" s="113" t="s">
        <v>5856</v>
      </c>
      <c r="K112" s="250" t="s">
        <v>5857</v>
      </c>
      <c r="L112" s="113" t="s">
        <v>5509</v>
      </c>
      <c r="M112" s="113"/>
      <c r="N112" s="113" t="s">
        <v>275</v>
      </c>
      <c r="O112" s="113"/>
      <c r="P112" s="113"/>
      <c r="Q112" s="113"/>
    </row>
    <row r="113">
      <c r="A113" s="249">
        <v>9450.0</v>
      </c>
      <c r="B113" s="271" t="s">
        <v>5858</v>
      </c>
      <c r="C113" s="259" t="s">
        <v>5859</v>
      </c>
      <c r="D113" s="113" t="s">
        <v>5310</v>
      </c>
      <c r="E113" s="113" t="s">
        <v>5311</v>
      </c>
      <c r="F113" s="248" t="s">
        <v>34</v>
      </c>
      <c r="G113" s="248"/>
      <c r="H113" s="248">
        <v>2020.0</v>
      </c>
      <c r="I113" s="248" t="s">
        <v>5312</v>
      </c>
      <c r="J113" s="113" t="s">
        <v>5860</v>
      </c>
      <c r="K113" s="250" t="s">
        <v>5861</v>
      </c>
      <c r="L113" s="113" t="s">
        <v>5509</v>
      </c>
      <c r="M113" s="113"/>
      <c r="N113" s="113" t="s">
        <v>275</v>
      </c>
      <c r="O113" s="113"/>
      <c r="P113" s="113"/>
      <c r="Q113" s="113"/>
    </row>
    <row r="114" hidden="1">
      <c r="A114" s="249">
        <v>10484.0</v>
      </c>
      <c r="B114" s="247"/>
      <c r="C114" s="248" t="s">
        <v>5862</v>
      </c>
      <c r="D114" s="113" t="s">
        <v>5310</v>
      </c>
      <c r="E114" s="113" t="s">
        <v>5311</v>
      </c>
      <c r="F114" s="248" t="s">
        <v>18</v>
      </c>
      <c r="G114" s="248"/>
      <c r="H114" s="248">
        <v>2019.0</v>
      </c>
      <c r="I114" s="248" t="s">
        <v>5312</v>
      </c>
      <c r="J114" s="113" t="s">
        <v>5863</v>
      </c>
      <c r="K114" s="250" t="s">
        <v>5864</v>
      </c>
      <c r="L114" s="113" t="s">
        <v>5509</v>
      </c>
      <c r="M114" s="113"/>
      <c r="N114" s="113" t="s">
        <v>23</v>
      </c>
      <c r="O114" s="113"/>
      <c r="P114" s="113"/>
      <c r="Q114" s="113"/>
    </row>
    <row r="115">
      <c r="A115" s="249">
        <v>10484.0</v>
      </c>
      <c r="B115" s="259" t="s">
        <v>5865</v>
      </c>
      <c r="C115" s="248" t="s">
        <v>5866</v>
      </c>
      <c r="D115" s="113" t="s">
        <v>5310</v>
      </c>
      <c r="E115" s="113" t="s">
        <v>5311</v>
      </c>
      <c r="F115" s="248" t="s">
        <v>34</v>
      </c>
      <c r="G115" s="248"/>
      <c r="H115" s="248">
        <v>2019.0</v>
      </c>
      <c r="I115" s="248" t="s">
        <v>5312</v>
      </c>
      <c r="J115" s="113" t="s">
        <v>5867</v>
      </c>
      <c r="K115" s="250" t="s">
        <v>5868</v>
      </c>
      <c r="L115" s="113" t="s">
        <v>5509</v>
      </c>
      <c r="M115" s="113"/>
      <c r="N115" s="113" t="s">
        <v>275</v>
      </c>
      <c r="O115" s="113"/>
      <c r="P115" s="113"/>
      <c r="Q115" s="113"/>
    </row>
    <row r="116">
      <c r="A116" s="263">
        <v>10060.0</v>
      </c>
      <c r="B116" s="282" t="s">
        <v>5869</v>
      </c>
      <c r="C116" s="266"/>
      <c r="D116" s="266" t="s">
        <v>4950</v>
      </c>
      <c r="E116" s="266" t="s">
        <v>4951</v>
      </c>
      <c r="F116" s="267" t="s">
        <v>295</v>
      </c>
      <c r="G116" s="267"/>
      <c r="H116" s="267">
        <v>2020.0</v>
      </c>
      <c r="I116" s="267" t="s">
        <v>24</v>
      </c>
      <c r="J116" s="266" t="s">
        <v>5870</v>
      </c>
      <c r="K116" s="268" t="s">
        <v>5871</v>
      </c>
      <c r="L116" s="266" t="s">
        <v>5509</v>
      </c>
      <c r="M116" s="266"/>
      <c r="N116" s="266" t="s">
        <v>37</v>
      </c>
      <c r="O116" s="267" t="s">
        <v>5872</v>
      </c>
      <c r="P116" s="266"/>
      <c r="Q116" s="266"/>
      <c r="R116" s="143"/>
      <c r="S116" s="143"/>
      <c r="T116" s="143"/>
      <c r="U116" s="143"/>
      <c r="V116" s="143"/>
      <c r="W116" s="143"/>
      <c r="X116" s="143"/>
      <c r="Y116" s="143"/>
      <c r="Z116" s="143"/>
      <c r="AA116" s="143"/>
      <c r="AB116" s="143"/>
    </row>
    <row r="117">
      <c r="A117" s="249">
        <v>10060.0</v>
      </c>
      <c r="B117" s="259" t="s">
        <v>5873</v>
      </c>
      <c r="C117" s="113"/>
      <c r="D117" s="113" t="s">
        <v>4950</v>
      </c>
      <c r="E117" s="113" t="s">
        <v>4951</v>
      </c>
      <c r="F117" s="248" t="s">
        <v>41</v>
      </c>
      <c r="G117" s="248"/>
      <c r="H117" s="248">
        <v>2019.0</v>
      </c>
      <c r="I117" s="248" t="s">
        <v>24</v>
      </c>
      <c r="J117" s="113" t="s">
        <v>5874</v>
      </c>
      <c r="K117" s="250" t="s">
        <v>5875</v>
      </c>
      <c r="L117" s="113" t="s">
        <v>5509</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5876</v>
      </c>
      <c r="C2" s="29" t="s">
        <v>449</v>
      </c>
      <c r="D2" s="29" t="s">
        <v>2905</v>
      </c>
      <c r="E2" s="29" t="s">
        <v>2906</v>
      </c>
      <c r="F2" s="30"/>
      <c r="G2" s="29" t="s">
        <v>441</v>
      </c>
      <c r="H2" s="29" t="s">
        <v>2480</v>
      </c>
      <c r="I2" s="29" t="s">
        <v>41</v>
      </c>
      <c r="J2" s="30"/>
      <c r="K2" s="29" t="s">
        <v>5877</v>
      </c>
      <c r="L2" s="29" t="s">
        <v>459</v>
      </c>
      <c r="M2" s="29" t="s">
        <v>5878</v>
      </c>
      <c r="N2" s="29">
        <v>2006.0</v>
      </c>
      <c r="O2" s="29" t="s">
        <v>24</v>
      </c>
      <c r="P2" s="29" t="s">
        <v>5507</v>
      </c>
    </row>
    <row r="3">
      <c r="A3" s="28"/>
      <c r="B3" s="1" t="s">
        <v>5510</v>
      </c>
      <c r="C3" s="29"/>
      <c r="D3" s="29" t="s">
        <v>2905</v>
      </c>
      <c r="E3" s="29" t="s">
        <v>2906</v>
      </c>
      <c r="F3" s="30"/>
      <c r="G3" s="29"/>
      <c r="H3" s="29"/>
      <c r="I3" s="29" t="s">
        <v>45</v>
      </c>
      <c r="J3" s="30"/>
      <c r="K3" s="29"/>
      <c r="L3" s="29"/>
      <c r="M3" s="29"/>
      <c r="N3" s="29">
        <v>2011.0</v>
      </c>
      <c r="O3" s="29" t="s">
        <v>24</v>
      </c>
      <c r="P3" s="284" t="s">
        <v>5511</v>
      </c>
      <c r="Q3" s="1" t="s">
        <v>5879</v>
      </c>
    </row>
    <row r="4">
      <c r="A4" s="28">
        <v>8945.0</v>
      </c>
      <c r="B4" s="29" t="s">
        <v>5880</v>
      </c>
      <c r="C4" s="29" t="s">
        <v>449</v>
      </c>
      <c r="D4" s="29" t="s">
        <v>2905</v>
      </c>
      <c r="E4" s="29" t="s">
        <v>2906</v>
      </c>
      <c r="F4" s="30"/>
      <c r="G4" s="29" t="s">
        <v>450</v>
      </c>
      <c r="H4" s="29" t="s">
        <v>5881</v>
      </c>
      <c r="I4" s="29" t="s">
        <v>45</v>
      </c>
      <c r="J4" s="30"/>
      <c r="K4" s="29" t="s">
        <v>610</v>
      </c>
      <c r="L4" s="30"/>
      <c r="M4" s="29" t="s">
        <v>5882</v>
      </c>
      <c r="N4" s="29">
        <v>2006.0</v>
      </c>
      <c r="O4" s="29" t="s">
        <v>24</v>
      </c>
      <c r="P4" s="284" t="s">
        <v>5883</v>
      </c>
    </row>
    <row r="5">
      <c r="A5" s="285"/>
      <c r="B5" s="286" t="s">
        <v>5516</v>
      </c>
      <c r="C5" s="287"/>
      <c r="D5" s="287" t="s">
        <v>2905</v>
      </c>
      <c r="E5" s="287" t="s">
        <v>2906</v>
      </c>
      <c r="F5" s="288"/>
      <c r="G5" s="287"/>
      <c r="H5" s="287"/>
      <c r="I5" s="287"/>
      <c r="J5" s="288"/>
      <c r="K5" s="287"/>
      <c r="L5" s="288"/>
      <c r="M5" s="287"/>
      <c r="N5" s="287">
        <v>2014.0</v>
      </c>
      <c r="O5" s="287" t="s">
        <v>347</v>
      </c>
      <c r="P5" s="289" t="s">
        <v>5517</v>
      </c>
      <c r="Q5" s="142" t="s">
        <v>5884</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5885</v>
      </c>
      <c r="I6" s="287"/>
      <c r="J6" s="288"/>
      <c r="K6" s="287" t="s">
        <v>5886</v>
      </c>
      <c r="L6" s="287" t="s">
        <v>5887</v>
      </c>
      <c r="M6" s="287" t="s">
        <v>5888</v>
      </c>
      <c r="N6" s="287">
        <v>2020.0</v>
      </c>
      <c r="O6" s="287"/>
      <c r="P6" s="289" t="s">
        <v>5520</v>
      </c>
      <c r="Q6" s="142" t="s">
        <v>5889</v>
      </c>
      <c r="R6" s="143"/>
      <c r="S6" s="143"/>
      <c r="T6" s="143"/>
      <c r="U6" s="143"/>
      <c r="V6" s="143"/>
      <c r="W6" s="143"/>
      <c r="X6" s="143"/>
      <c r="Y6" s="143"/>
      <c r="Z6" s="143"/>
      <c r="AA6" s="143"/>
      <c r="AB6" s="143"/>
    </row>
    <row r="7">
      <c r="A7" s="28"/>
      <c r="B7" s="29" t="s">
        <v>5890</v>
      </c>
      <c r="C7" s="29"/>
      <c r="D7" s="29" t="s">
        <v>2905</v>
      </c>
      <c r="E7" s="29" t="s">
        <v>2906</v>
      </c>
      <c r="F7" s="30"/>
      <c r="G7" s="29"/>
      <c r="H7" s="29"/>
      <c r="I7" s="29" t="s">
        <v>144</v>
      </c>
      <c r="J7" s="30"/>
      <c r="K7" s="29"/>
      <c r="L7" s="29"/>
      <c r="M7" s="29"/>
      <c r="N7" s="29">
        <v>2020.0</v>
      </c>
      <c r="O7" s="29" t="s">
        <v>24</v>
      </c>
      <c r="P7" s="284" t="s">
        <v>5522</v>
      </c>
    </row>
    <row r="8">
      <c r="A8" s="28">
        <v>10466.0</v>
      </c>
      <c r="B8" s="29" t="s">
        <v>5891</v>
      </c>
      <c r="C8" s="29" t="s">
        <v>432</v>
      </c>
      <c r="D8" s="29" t="s">
        <v>2905</v>
      </c>
      <c r="E8" s="29" t="s">
        <v>2906</v>
      </c>
      <c r="F8" s="30"/>
      <c r="G8" s="29" t="s">
        <v>433</v>
      </c>
      <c r="H8" s="29" t="s">
        <v>3685</v>
      </c>
      <c r="I8" s="29" t="s">
        <v>18</v>
      </c>
      <c r="J8" s="30"/>
      <c r="K8" s="30"/>
      <c r="L8" s="29" t="s">
        <v>1789</v>
      </c>
      <c r="M8" s="29" t="s">
        <v>5892</v>
      </c>
      <c r="N8" s="29">
        <v>2021.0</v>
      </c>
      <c r="O8" s="29" t="s">
        <v>2910</v>
      </c>
      <c r="P8" s="284" t="s">
        <v>5525</v>
      </c>
    </row>
    <row r="9">
      <c r="A9" s="285"/>
      <c r="B9" s="287"/>
      <c r="C9" s="287"/>
      <c r="D9" s="287"/>
      <c r="E9" s="287"/>
      <c r="F9" s="288"/>
      <c r="G9" s="287"/>
      <c r="H9" s="287"/>
      <c r="I9" s="287"/>
      <c r="J9" s="288"/>
      <c r="K9" s="288"/>
      <c r="L9" s="287"/>
      <c r="M9" s="287"/>
      <c r="N9" s="287"/>
      <c r="O9" s="287"/>
      <c r="P9" s="289" t="s">
        <v>5527</v>
      </c>
      <c r="Q9" s="142" t="s">
        <v>5889</v>
      </c>
      <c r="R9" s="143"/>
      <c r="S9" s="143"/>
      <c r="T9" s="143"/>
      <c r="U9" s="143"/>
      <c r="V9" s="143"/>
      <c r="W9" s="143"/>
      <c r="X9" s="143"/>
      <c r="Y9" s="143"/>
      <c r="Z9" s="143"/>
      <c r="AA9" s="143"/>
      <c r="AB9" s="143"/>
    </row>
    <row r="10">
      <c r="A10" s="28">
        <v>10467.0</v>
      </c>
      <c r="B10" s="29" t="s">
        <v>5893</v>
      </c>
      <c r="C10" s="29" t="s">
        <v>432</v>
      </c>
      <c r="D10" s="29" t="s">
        <v>2905</v>
      </c>
      <c r="E10" s="29" t="s">
        <v>2906</v>
      </c>
      <c r="F10" s="30"/>
      <c r="G10" s="29" t="s">
        <v>441</v>
      </c>
      <c r="H10" s="29" t="s">
        <v>434</v>
      </c>
      <c r="I10" s="29" t="s">
        <v>3022</v>
      </c>
      <c r="J10" s="30"/>
      <c r="K10" s="29" t="s">
        <v>5894</v>
      </c>
      <c r="L10" s="29" t="s">
        <v>511</v>
      </c>
      <c r="M10" s="29" t="s">
        <v>5895</v>
      </c>
      <c r="N10" s="29">
        <v>2021.0</v>
      </c>
      <c r="O10" s="29" t="s">
        <v>2910</v>
      </c>
      <c r="P10" s="290" t="s">
        <v>5530</v>
      </c>
    </row>
    <row r="11">
      <c r="A11" s="291"/>
      <c r="B11" s="292" t="s">
        <v>5532</v>
      </c>
      <c r="C11" s="292"/>
      <c r="D11" s="292" t="s">
        <v>2905</v>
      </c>
      <c r="E11" s="292" t="s">
        <v>2906</v>
      </c>
      <c r="F11" s="293"/>
      <c r="G11" s="292"/>
      <c r="H11" s="292"/>
      <c r="I11" s="292"/>
      <c r="J11" s="293"/>
      <c r="K11" s="292"/>
      <c r="L11" s="292"/>
      <c r="M11" s="292"/>
      <c r="N11" s="292">
        <v>2021.0</v>
      </c>
      <c r="O11" s="292" t="s">
        <v>2910</v>
      </c>
      <c r="P11" s="294" t="s">
        <v>5533</v>
      </c>
      <c r="Q11" s="295" t="s">
        <v>5896</v>
      </c>
      <c r="R11" s="296"/>
      <c r="S11" s="296"/>
      <c r="T11" s="296"/>
      <c r="U11" s="296"/>
      <c r="V11" s="296"/>
      <c r="W11" s="296"/>
      <c r="X11" s="296"/>
      <c r="Y11" s="296"/>
      <c r="Z11" s="296"/>
      <c r="AA11" s="296"/>
      <c r="AB11" s="296"/>
    </row>
    <row r="12">
      <c r="A12" s="285">
        <v>1669.0</v>
      </c>
      <c r="B12" s="287"/>
      <c r="C12" s="287" t="s">
        <v>449</v>
      </c>
      <c r="D12" s="287" t="s">
        <v>5283</v>
      </c>
      <c r="E12" s="287" t="s">
        <v>5284</v>
      </c>
      <c r="F12" s="288"/>
      <c r="G12" s="287" t="s">
        <v>441</v>
      </c>
      <c r="H12" s="287" t="s">
        <v>1309</v>
      </c>
      <c r="I12" s="287" t="s">
        <v>41</v>
      </c>
      <c r="J12" s="288"/>
      <c r="K12" s="287" t="s">
        <v>5897</v>
      </c>
      <c r="L12" s="287" t="s">
        <v>3138</v>
      </c>
      <c r="M12" s="287" t="s">
        <v>5898</v>
      </c>
      <c r="N12" s="287"/>
      <c r="O12" s="287"/>
      <c r="P12" s="297" t="s">
        <v>5536</v>
      </c>
      <c r="Q12" s="142" t="s">
        <v>5889</v>
      </c>
      <c r="R12" s="143"/>
      <c r="S12" s="143"/>
      <c r="T12" s="143"/>
      <c r="U12" s="143"/>
      <c r="V12" s="143"/>
      <c r="W12" s="143"/>
      <c r="X12" s="143"/>
      <c r="Y12" s="143"/>
      <c r="Z12" s="143"/>
      <c r="AA12" s="143"/>
      <c r="AB12" s="143"/>
    </row>
    <row r="13">
      <c r="A13" s="28"/>
      <c r="B13" s="1" t="s">
        <v>5899</v>
      </c>
      <c r="C13" s="29"/>
      <c r="D13" s="29" t="s">
        <v>5283</v>
      </c>
      <c r="E13" s="29" t="s">
        <v>5284</v>
      </c>
      <c r="F13" s="30"/>
      <c r="G13" s="29"/>
      <c r="H13" s="29"/>
      <c r="I13" s="29" t="s">
        <v>836</v>
      </c>
      <c r="J13" s="30"/>
      <c r="K13" s="29"/>
      <c r="L13" s="29"/>
      <c r="M13" s="29"/>
      <c r="N13" s="29">
        <v>2015.0</v>
      </c>
      <c r="O13" s="29"/>
      <c r="P13" s="290" t="s">
        <v>5540</v>
      </c>
    </row>
    <row r="14">
      <c r="A14" s="28">
        <v>1674.0</v>
      </c>
      <c r="B14" s="29" t="s">
        <v>5900</v>
      </c>
      <c r="C14" s="29" t="s">
        <v>432</v>
      </c>
      <c r="D14" s="29" t="s">
        <v>5283</v>
      </c>
      <c r="E14" s="29" t="s">
        <v>5284</v>
      </c>
      <c r="F14" s="29" t="s">
        <v>441</v>
      </c>
      <c r="G14" s="29" t="s">
        <v>433</v>
      </c>
      <c r="H14" s="29" t="s">
        <v>5901</v>
      </c>
      <c r="I14" s="29" t="s">
        <v>144</v>
      </c>
      <c r="J14" s="30"/>
      <c r="K14" s="29" t="s">
        <v>5902</v>
      </c>
      <c r="L14" s="29" t="s">
        <v>489</v>
      </c>
      <c r="M14" s="29" t="s">
        <v>5903</v>
      </c>
      <c r="N14" s="29"/>
      <c r="O14" s="29"/>
      <c r="P14" s="29" t="s">
        <v>5904</v>
      </c>
    </row>
    <row r="15">
      <c r="A15" s="28">
        <v>8573.0</v>
      </c>
      <c r="B15" s="29" t="s">
        <v>5905</v>
      </c>
      <c r="C15" s="29" t="s">
        <v>432</v>
      </c>
      <c r="D15" s="29" t="s">
        <v>5283</v>
      </c>
      <c r="E15" s="29" t="s">
        <v>5284</v>
      </c>
      <c r="F15" s="30"/>
      <c r="G15" s="29" t="s">
        <v>441</v>
      </c>
      <c r="H15" s="29" t="s">
        <v>434</v>
      </c>
      <c r="I15" s="29" t="s">
        <v>435</v>
      </c>
      <c r="J15" s="30"/>
      <c r="K15" s="29" t="s">
        <v>547</v>
      </c>
      <c r="L15" s="30"/>
      <c r="M15" s="29" t="s">
        <v>5906</v>
      </c>
      <c r="N15" s="29"/>
      <c r="O15" s="29"/>
      <c r="P15" s="29" t="s">
        <v>5907</v>
      </c>
    </row>
    <row r="16">
      <c r="A16" s="28">
        <v>8574.0</v>
      </c>
      <c r="B16" s="29" t="s">
        <v>5908</v>
      </c>
      <c r="C16" s="29" t="s">
        <v>449</v>
      </c>
      <c r="D16" s="29" t="s">
        <v>5283</v>
      </c>
      <c r="E16" s="29" t="s">
        <v>5284</v>
      </c>
      <c r="F16" s="30"/>
      <c r="G16" s="29" t="s">
        <v>433</v>
      </c>
      <c r="H16" s="29" t="s">
        <v>1105</v>
      </c>
      <c r="I16" s="29" t="s">
        <v>41</v>
      </c>
      <c r="J16" s="30"/>
      <c r="K16" s="29" t="s">
        <v>4157</v>
      </c>
      <c r="L16" s="29" t="s">
        <v>1747</v>
      </c>
      <c r="M16" s="29" t="s">
        <v>5909</v>
      </c>
      <c r="N16" s="29"/>
      <c r="O16" s="29"/>
      <c r="P16" s="29" t="s">
        <v>5910</v>
      </c>
    </row>
    <row r="17">
      <c r="A17" s="28">
        <v>8980.0</v>
      </c>
      <c r="B17" s="29" t="s">
        <v>5911</v>
      </c>
      <c r="C17" s="29" t="s">
        <v>432</v>
      </c>
      <c r="D17" s="29" t="s">
        <v>5283</v>
      </c>
      <c r="E17" s="29" t="s">
        <v>5284</v>
      </c>
      <c r="F17" s="30"/>
      <c r="G17" s="29" t="s">
        <v>433</v>
      </c>
      <c r="H17" s="29" t="s">
        <v>434</v>
      </c>
      <c r="I17" s="29" t="s">
        <v>850</v>
      </c>
      <c r="J17" s="30"/>
      <c r="K17" s="29" t="s">
        <v>4261</v>
      </c>
      <c r="L17" s="29" t="s">
        <v>4100</v>
      </c>
      <c r="M17" s="29" t="s">
        <v>5912</v>
      </c>
      <c r="N17" s="29"/>
      <c r="O17" s="29"/>
      <c r="P17" s="29" t="s">
        <v>5913</v>
      </c>
    </row>
    <row r="18">
      <c r="A18" s="28">
        <v>8994.0</v>
      </c>
      <c r="B18" s="29" t="s">
        <v>5914</v>
      </c>
      <c r="C18" s="29" t="s">
        <v>432</v>
      </c>
      <c r="D18" s="29" t="s">
        <v>5283</v>
      </c>
      <c r="E18" s="29" t="s">
        <v>5284</v>
      </c>
      <c r="F18" s="30"/>
      <c r="G18" s="29" t="s">
        <v>450</v>
      </c>
      <c r="H18" s="29" t="s">
        <v>469</v>
      </c>
      <c r="I18" s="29" t="s">
        <v>5915</v>
      </c>
      <c r="J18" s="30"/>
      <c r="K18" s="29" t="s">
        <v>1841</v>
      </c>
      <c r="L18" s="29" t="s">
        <v>5916</v>
      </c>
      <c r="M18" s="29" t="s">
        <v>5917</v>
      </c>
      <c r="N18" s="29"/>
      <c r="O18" s="29"/>
      <c r="P18" s="29" t="s">
        <v>5918</v>
      </c>
    </row>
    <row r="19">
      <c r="A19" s="28">
        <v>9517.0</v>
      </c>
      <c r="B19" s="29" t="s">
        <v>5919</v>
      </c>
      <c r="C19" s="29" t="s">
        <v>432</v>
      </c>
      <c r="D19" s="29" t="s">
        <v>5283</v>
      </c>
      <c r="E19" s="29" t="s">
        <v>5284</v>
      </c>
      <c r="F19" s="30"/>
      <c r="G19" s="29" t="s">
        <v>433</v>
      </c>
      <c r="H19" s="29" t="s">
        <v>2968</v>
      </c>
      <c r="I19" s="29" t="s">
        <v>234</v>
      </c>
      <c r="J19" s="29" t="s">
        <v>5920</v>
      </c>
      <c r="K19" s="29" t="s">
        <v>5921</v>
      </c>
      <c r="L19" s="29" t="s">
        <v>5922</v>
      </c>
      <c r="M19" s="29" t="s">
        <v>5923</v>
      </c>
      <c r="N19" s="29"/>
      <c r="O19" s="29"/>
      <c r="P19" s="29" t="s">
        <v>5924</v>
      </c>
    </row>
    <row r="20">
      <c r="A20" s="28">
        <v>9734.0</v>
      </c>
      <c r="B20" s="29" t="s">
        <v>5925</v>
      </c>
      <c r="C20" s="29" t="s">
        <v>432</v>
      </c>
      <c r="D20" s="29" t="s">
        <v>5283</v>
      </c>
      <c r="E20" s="29" t="s">
        <v>5284</v>
      </c>
      <c r="F20" s="30"/>
      <c r="G20" s="29" t="s">
        <v>441</v>
      </c>
      <c r="H20" s="29" t="s">
        <v>474</v>
      </c>
      <c r="I20" s="29" t="s">
        <v>18</v>
      </c>
      <c r="J20" s="30"/>
      <c r="K20" s="29" t="s">
        <v>5926</v>
      </c>
      <c r="L20" s="29" t="s">
        <v>489</v>
      </c>
      <c r="M20" s="29" t="s">
        <v>5927</v>
      </c>
      <c r="N20" s="29"/>
      <c r="O20" s="29"/>
      <c r="P20" s="29" t="s">
        <v>5928</v>
      </c>
    </row>
    <row r="21">
      <c r="A21" s="28">
        <v>9735.0</v>
      </c>
      <c r="B21" s="29" t="s">
        <v>5929</v>
      </c>
      <c r="C21" s="29" t="s">
        <v>432</v>
      </c>
      <c r="D21" s="29" t="s">
        <v>5283</v>
      </c>
      <c r="E21" s="29" t="s">
        <v>5284</v>
      </c>
      <c r="F21" s="30"/>
      <c r="G21" s="29" t="s">
        <v>441</v>
      </c>
      <c r="H21" s="29" t="s">
        <v>434</v>
      </c>
      <c r="I21" s="29" t="s">
        <v>648</v>
      </c>
      <c r="J21" s="30"/>
      <c r="K21" s="29" t="s">
        <v>1305</v>
      </c>
      <c r="L21" s="29" t="s">
        <v>4119</v>
      </c>
      <c r="M21" s="29" t="s">
        <v>5930</v>
      </c>
      <c r="N21" s="29"/>
      <c r="O21" s="29"/>
      <c r="P21" s="29" t="s">
        <v>5931</v>
      </c>
    </row>
    <row r="22">
      <c r="A22" s="28">
        <v>9756.0</v>
      </c>
      <c r="B22" s="29" t="s">
        <v>5932</v>
      </c>
      <c r="C22" s="29" t="s">
        <v>432</v>
      </c>
      <c r="D22" s="29" t="s">
        <v>5283</v>
      </c>
      <c r="E22" s="29" t="s">
        <v>5284</v>
      </c>
      <c r="F22" s="30"/>
      <c r="G22" s="29" t="s">
        <v>433</v>
      </c>
      <c r="H22" s="29" t="s">
        <v>434</v>
      </c>
      <c r="I22" s="29" t="s">
        <v>144</v>
      </c>
      <c r="J22" s="30"/>
      <c r="K22" s="29" t="s">
        <v>5933</v>
      </c>
      <c r="L22" s="29" t="s">
        <v>511</v>
      </c>
      <c r="M22" s="29" t="s">
        <v>5934</v>
      </c>
      <c r="N22" s="29"/>
      <c r="O22" s="29"/>
      <c r="P22" s="29" t="s">
        <v>5935</v>
      </c>
    </row>
    <row r="23">
      <c r="A23" s="28">
        <v>10039.0</v>
      </c>
      <c r="B23" s="29" t="s">
        <v>5936</v>
      </c>
      <c r="C23" s="29" t="s">
        <v>432</v>
      </c>
      <c r="D23" s="29" t="s">
        <v>5283</v>
      </c>
      <c r="E23" s="29" t="s">
        <v>5284</v>
      </c>
      <c r="F23" s="30"/>
      <c r="G23" s="29" t="s">
        <v>433</v>
      </c>
      <c r="H23" s="29" t="s">
        <v>434</v>
      </c>
      <c r="I23" s="29" t="s">
        <v>144</v>
      </c>
      <c r="J23" s="30"/>
      <c r="K23" s="29" t="s">
        <v>620</v>
      </c>
      <c r="L23" s="29" t="s">
        <v>511</v>
      </c>
      <c r="M23" s="29" t="s">
        <v>5937</v>
      </c>
      <c r="N23" s="29"/>
      <c r="O23" s="29"/>
      <c r="P23" s="29" t="s">
        <v>5938</v>
      </c>
    </row>
    <row r="24">
      <c r="A24" s="28">
        <v>10144.0</v>
      </c>
      <c r="B24" s="29" t="s">
        <v>5939</v>
      </c>
      <c r="C24" s="29" t="s">
        <v>432</v>
      </c>
      <c r="D24" s="29" t="s">
        <v>5283</v>
      </c>
      <c r="E24" s="29" t="s">
        <v>5284</v>
      </c>
      <c r="F24" s="30"/>
      <c r="G24" s="29" t="s">
        <v>441</v>
      </c>
      <c r="H24" s="29" t="s">
        <v>434</v>
      </c>
      <c r="I24" s="29" t="s">
        <v>144</v>
      </c>
      <c r="J24" s="30"/>
      <c r="K24" s="29" t="s">
        <v>5940</v>
      </c>
      <c r="L24" s="29" t="s">
        <v>1781</v>
      </c>
      <c r="M24" s="29" t="s">
        <v>5941</v>
      </c>
      <c r="N24" s="29"/>
      <c r="O24" s="29"/>
      <c r="P24" s="29" t="s">
        <v>5942</v>
      </c>
    </row>
    <row r="25">
      <c r="A25" s="28">
        <v>10512.0</v>
      </c>
      <c r="B25" s="29" t="s">
        <v>5629</v>
      </c>
      <c r="C25" s="29" t="s">
        <v>432</v>
      </c>
      <c r="D25" s="29" t="s">
        <v>5283</v>
      </c>
      <c r="E25" s="29" t="s">
        <v>5284</v>
      </c>
      <c r="F25" s="30"/>
      <c r="G25" s="29" t="s">
        <v>441</v>
      </c>
      <c r="H25" s="29" t="s">
        <v>1784</v>
      </c>
      <c r="I25" s="29" t="s">
        <v>234</v>
      </c>
      <c r="J25" s="30"/>
      <c r="K25" s="29" t="s">
        <v>3079</v>
      </c>
      <c r="L25" s="29" t="s">
        <v>5943</v>
      </c>
      <c r="M25" s="29" t="s">
        <v>5944</v>
      </c>
      <c r="N25" s="29"/>
      <c r="O25" s="29"/>
      <c r="P25" s="29" t="s">
        <v>5945</v>
      </c>
    </row>
    <row r="26">
      <c r="A26" s="28">
        <v>4815.0</v>
      </c>
      <c r="B26" s="29" t="s">
        <v>5946</v>
      </c>
      <c r="C26" s="29" t="s">
        <v>432</v>
      </c>
      <c r="D26" s="29" t="s">
        <v>5634</v>
      </c>
      <c r="E26" s="29" t="s">
        <v>5635</v>
      </c>
      <c r="F26" s="30"/>
      <c r="G26" s="29" t="s">
        <v>441</v>
      </c>
      <c r="H26" s="29" t="s">
        <v>434</v>
      </c>
      <c r="I26" s="29" t="s">
        <v>407</v>
      </c>
      <c r="J26" s="30"/>
      <c r="K26" s="29" t="s">
        <v>5947</v>
      </c>
      <c r="L26" s="29" t="s">
        <v>489</v>
      </c>
      <c r="M26" s="29" t="s">
        <v>5948</v>
      </c>
      <c r="N26" s="29"/>
      <c r="O26" s="29"/>
      <c r="P26" s="29" t="s">
        <v>5949</v>
      </c>
    </row>
    <row r="27">
      <c r="A27" s="28">
        <v>9653.0</v>
      </c>
      <c r="B27" s="29" t="s">
        <v>5950</v>
      </c>
      <c r="C27" s="29" t="s">
        <v>449</v>
      </c>
      <c r="D27" s="29" t="s">
        <v>5634</v>
      </c>
      <c r="E27" s="29" t="s">
        <v>5635</v>
      </c>
      <c r="F27" s="30"/>
      <c r="G27" s="29" t="s">
        <v>450</v>
      </c>
      <c r="H27" s="29" t="s">
        <v>5951</v>
      </c>
      <c r="I27" s="29" t="s">
        <v>45</v>
      </c>
      <c r="J27" s="30"/>
      <c r="K27" s="29" t="s">
        <v>5952</v>
      </c>
      <c r="L27" s="29" t="s">
        <v>3120</v>
      </c>
      <c r="M27" s="29" t="s">
        <v>5953</v>
      </c>
      <c r="N27" s="29"/>
      <c r="O27" s="29"/>
      <c r="P27" s="29" t="s">
        <v>5954</v>
      </c>
    </row>
    <row r="28">
      <c r="A28" s="28">
        <v>8523.0</v>
      </c>
      <c r="B28" s="29" t="s">
        <v>5955</v>
      </c>
      <c r="C28" s="29" t="s">
        <v>449</v>
      </c>
      <c r="D28" s="29" t="s">
        <v>5647</v>
      </c>
      <c r="E28" s="29" t="s">
        <v>5648</v>
      </c>
      <c r="F28" s="30"/>
      <c r="G28" s="29" t="s">
        <v>441</v>
      </c>
      <c r="H28" s="29" t="s">
        <v>5956</v>
      </c>
      <c r="I28" s="29" t="s">
        <v>41</v>
      </c>
      <c r="J28" s="30"/>
      <c r="K28" s="29" t="s">
        <v>4846</v>
      </c>
      <c r="L28" s="29" t="s">
        <v>489</v>
      </c>
      <c r="M28" s="29" t="s">
        <v>5957</v>
      </c>
      <c r="N28" s="29"/>
      <c r="O28" s="29"/>
      <c r="P28" s="29" t="s">
        <v>5958</v>
      </c>
    </row>
    <row r="29">
      <c r="A29" s="28">
        <v>1680.0</v>
      </c>
      <c r="B29" s="29" t="s">
        <v>5959</v>
      </c>
      <c r="C29" s="29" t="s">
        <v>449</v>
      </c>
      <c r="D29" s="29" t="s">
        <v>5656</v>
      </c>
      <c r="E29" s="29" t="s">
        <v>5657</v>
      </c>
      <c r="F29" s="30"/>
      <c r="G29" s="29" t="s">
        <v>441</v>
      </c>
      <c r="H29" s="29" t="s">
        <v>469</v>
      </c>
      <c r="I29" s="29" t="s">
        <v>41</v>
      </c>
      <c r="J29" s="30"/>
      <c r="K29" s="29" t="s">
        <v>527</v>
      </c>
      <c r="L29" s="29" t="s">
        <v>489</v>
      </c>
      <c r="M29" s="29" t="s">
        <v>5960</v>
      </c>
      <c r="N29" s="29"/>
      <c r="O29" s="29"/>
      <c r="P29" s="29" t="s">
        <v>5961</v>
      </c>
    </row>
    <row r="30">
      <c r="A30" s="28">
        <v>1683.0</v>
      </c>
      <c r="B30" s="29" t="s">
        <v>5962</v>
      </c>
      <c r="C30" s="29" t="s">
        <v>449</v>
      </c>
      <c r="D30" s="29" t="s">
        <v>5656</v>
      </c>
      <c r="E30" s="29" t="s">
        <v>5657</v>
      </c>
      <c r="F30" s="30"/>
      <c r="G30" s="29" t="s">
        <v>450</v>
      </c>
      <c r="H30" s="29" t="s">
        <v>5963</v>
      </c>
      <c r="I30" s="29" t="s">
        <v>41</v>
      </c>
      <c r="J30" s="30"/>
      <c r="K30" s="29" t="s">
        <v>5964</v>
      </c>
      <c r="L30" s="29" t="s">
        <v>5965</v>
      </c>
      <c r="M30" s="29" t="s">
        <v>5966</v>
      </c>
      <c r="N30" s="29"/>
      <c r="O30" s="29"/>
      <c r="P30" s="29" t="s">
        <v>5967</v>
      </c>
    </row>
    <row r="31">
      <c r="A31" s="28">
        <v>8273.0</v>
      </c>
      <c r="B31" s="29" t="s">
        <v>3180</v>
      </c>
      <c r="C31" s="29" t="s">
        <v>449</v>
      </c>
      <c r="D31" s="29" t="s">
        <v>5656</v>
      </c>
      <c r="E31" s="29" t="s">
        <v>5657</v>
      </c>
      <c r="F31" s="29" t="s">
        <v>433</v>
      </c>
      <c r="G31" s="29" t="s">
        <v>450</v>
      </c>
      <c r="H31" s="29" t="s">
        <v>434</v>
      </c>
      <c r="I31" s="29" t="s">
        <v>41</v>
      </c>
      <c r="J31" s="30"/>
      <c r="K31" s="29" t="s">
        <v>2527</v>
      </c>
      <c r="L31" s="29" t="s">
        <v>476</v>
      </c>
      <c r="M31" s="29" t="s">
        <v>5968</v>
      </c>
      <c r="N31" s="29"/>
      <c r="O31" s="29"/>
      <c r="P31" s="29" t="s">
        <v>5969</v>
      </c>
    </row>
    <row r="32">
      <c r="A32" s="28">
        <v>8752.0</v>
      </c>
      <c r="B32" s="29" t="s">
        <v>5679</v>
      </c>
      <c r="C32" s="29" t="s">
        <v>432</v>
      </c>
      <c r="D32" s="29" t="s">
        <v>5656</v>
      </c>
      <c r="E32" s="29" t="s">
        <v>5657</v>
      </c>
      <c r="F32" s="29" t="s">
        <v>441</v>
      </c>
      <c r="G32" s="29" t="s">
        <v>441</v>
      </c>
      <c r="H32" s="29" t="s">
        <v>1122</v>
      </c>
      <c r="I32" s="29" t="s">
        <v>259</v>
      </c>
      <c r="J32" s="30"/>
      <c r="K32" s="29" t="s">
        <v>547</v>
      </c>
      <c r="L32" s="29" t="s">
        <v>476</v>
      </c>
      <c r="M32" s="29" t="s">
        <v>5970</v>
      </c>
      <c r="N32" s="29"/>
      <c r="O32" s="29"/>
      <c r="P32" s="29" t="s">
        <v>5971</v>
      </c>
    </row>
    <row r="33">
      <c r="A33" s="28">
        <v>8763.0</v>
      </c>
      <c r="B33" s="29" t="s">
        <v>5972</v>
      </c>
      <c r="C33" s="29" t="s">
        <v>449</v>
      </c>
      <c r="D33" s="29" t="s">
        <v>5656</v>
      </c>
      <c r="E33" s="29" t="s">
        <v>5657</v>
      </c>
      <c r="F33" s="30"/>
      <c r="G33" s="29" t="s">
        <v>433</v>
      </c>
      <c r="H33" s="29" t="s">
        <v>5973</v>
      </c>
      <c r="I33" s="29" t="s">
        <v>41</v>
      </c>
      <c r="J33" s="29" t="s">
        <v>5974</v>
      </c>
      <c r="K33" s="29" t="s">
        <v>450</v>
      </c>
      <c r="L33" s="29" t="s">
        <v>5975</v>
      </c>
      <c r="M33" s="29" t="s">
        <v>5976</v>
      </c>
      <c r="N33" s="29"/>
      <c r="O33" s="29"/>
      <c r="P33" s="29" t="s">
        <v>5977</v>
      </c>
    </row>
    <row r="34">
      <c r="A34" s="28">
        <v>9518.0</v>
      </c>
      <c r="B34" s="29" t="s">
        <v>5691</v>
      </c>
      <c r="C34" s="29" t="s">
        <v>432</v>
      </c>
      <c r="D34" s="29" t="s">
        <v>5656</v>
      </c>
      <c r="E34" s="29" t="s">
        <v>5657</v>
      </c>
      <c r="F34" s="30"/>
      <c r="G34" s="29" t="s">
        <v>433</v>
      </c>
      <c r="H34" s="29" t="s">
        <v>2426</v>
      </c>
      <c r="I34" s="29" t="s">
        <v>234</v>
      </c>
      <c r="J34" s="29" t="s">
        <v>5978</v>
      </c>
      <c r="K34" s="29" t="s">
        <v>5979</v>
      </c>
      <c r="L34" s="29" t="s">
        <v>1829</v>
      </c>
      <c r="M34" s="29" t="s">
        <v>5980</v>
      </c>
      <c r="N34" s="29"/>
      <c r="O34" s="29"/>
      <c r="P34" s="29" t="s">
        <v>5981</v>
      </c>
    </row>
    <row r="35">
      <c r="A35" s="28">
        <v>10125.0</v>
      </c>
      <c r="B35" s="29" t="s">
        <v>5982</v>
      </c>
      <c r="C35" s="29" t="s">
        <v>432</v>
      </c>
      <c r="D35" s="29" t="s">
        <v>5656</v>
      </c>
      <c r="E35" s="29" t="s">
        <v>5657</v>
      </c>
      <c r="F35" s="30"/>
      <c r="G35" s="29" t="s">
        <v>441</v>
      </c>
      <c r="H35" s="29" t="s">
        <v>1745</v>
      </c>
      <c r="I35" s="29" t="s">
        <v>435</v>
      </c>
      <c r="J35" s="30"/>
      <c r="K35" s="30"/>
      <c r="L35" s="29" t="s">
        <v>2386</v>
      </c>
      <c r="M35" s="29" t="s">
        <v>5983</v>
      </c>
      <c r="N35" s="29"/>
      <c r="O35" s="29"/>
      <c r="P35" s="29" t="s">
        <v>5984</v>
      </c>
    </row>
    <row r="36">
      <c r="A36" s="28">
        <v>1687.0</v>
      </c>
      <c r="B36" s="29" t="s">
        <v>5985</v>
      </c>
      <c r="C36" s="29" t="s">
        <v>449</v>
      </c>
      <c r="D36" s="29" t="s">
        <v>5705</v>
      </c>
      <c r="E36" s="29" t="s">
        <v>5706</v>
      </c>
      <c r="F36" s="29" t="s">
        <v>441</v>
      </c>
      <c r="G36" s="29" t="s">
        <v>433</v>
      </c>
      <c r="H36" s="29" t="s">
        <v>1135</v>
      </c>
      <c r="I36" s="29" t="s">
        <v>41</v>
      </c>
      <c r="J36" s="30"/>
      <c r="K36" s="29" t="s">
        <v>693</v>
      </c>
      <c r="L36" s="29" t="s">
        <v>2984</v>
      </c>
      <c r="M36" s="29" t="s">
        <v>5986</v>
      </c>
      <c r="N36" s="29"/>
      <c r="O36" s="29"/>
      <c r="P36" s="29" t="s">
        <v>5987</v>
      </c>
    </row>
    <row r="37">
      <c r="A37" s="28">
        <v>1689.0</v>
      </c>
      <c r="B37" s="29" t="s">
        <v>5988</v>
      </c>
      <c r="C37" s="29" t="s">
        <v>432</v>
      </c>
      <c r="D37" s="29" t="s">
        <v>5705</v>
      </c>
      <c r="E37" s="29" t="s">
        <v>5706</v>
      </c>
      <c r="F37" s="29" t="s">
        <v>450</v>
      </c>
      <c r="G37" s="29" t="s">
        <v>450</v>
      </c>
      <c r="H37" s="29" t="s">
        <v>5973</v>
      </c>
      <c r="I37" s="29" t="s">
        <v>648</v>
      </c>
      <c r="J37" s="29" t="s">
        <v>5989</v>
      </c>
      <c r="K37" s="29" t="s">
        <v>649</v>
      </c>
      <c r="L37" s="29" t="s">
        <v>5990</v>
      </c>
      <c r="M37" s="29" t="s">
        <v>5991</v>
      </c>
      <c r="N37" s="29"/>
      <c r="O37" s="29"/>
      <c r="P37" s="29" t="s">
        <v>5992</v>
      </c>
    </row>
    <row r="38">
      <c r="A38" s="28">
        <v>1690.0</v>
      </c>
      <c r="B38" s="29" t="s">
        <v>5993</v>
      </c>
      <c r="C38" s="29" t="s">
        <v>432</v>
      </c>
      <c r="D38" s="29" t="s">
        <v>5705</v>
      </c>
      <c r="E38" s="29" t="s">
        <v>5706</v>
      </c>
      <c r="F38" s="30"/>
      <c r="G38" s="29" t="s">
        <v>441</v>
      </c>
      <c r="H38" s="29" t="s">
        <v>5994</v>
      </c>
      <c r="I38" s="29" t="s">
        <v>443</v>
      </c>
      <c r="J38" s="30"/>
      <c r="K38" s="29" t="s">
        <v>475</v>
      </c>
      <c r="L38" s="29" t="s">
        <v>5995</v>
      </c>
      <c r="M38" s="29" t="s">
        <v>5996</v>
      </c>
      <c r="N38" s="29"/>
      <c r="O38" s="29"/>
      <c r="P38" s="29" t="s">
        <v>5997</v>
      </c>
    </row>
    <row r="39">
      <c r="A39" s="28">
        <v>1691.0</v>
      </c>
      <c r="B39" s="29" t="s">
        <v>5998</v>
      </c>
      <c r="C39" s="29" t="s">
        <v>449</v>
      </c>
      <c r="D39" s="29" t="s">
        <v>5705</v>
      </c>
      <c r="E39" s="29" t="s">
        <v>5706</v>
      </c>
      <c r="F39" s="30"/>
      <c r="G39" s="29" t="s">
        <v>441</v>
      </c>
      <c r="H39" s="29" t="s">
        <v>474</v>
      </c>
      <c r="I39" s="29" t="s">
        <v>41</v>
      </c>
      <c r="J39" s="30"/>
      <c r="K39" s="29" t="s">
        <v>5999</v>
      </c>
      <c r="L39" s="29" t="s">
        <v>3057</v>
      </c>
      <c r="M39" s="29" t="s">
        <v>6000</v>
      </c>
      <c r="N39" s="29"/>
      <c r="O39" s="29"/>
      <c r="P39" s="29" t="s">
        <v>6001</v>
      </c>
    </row>
    <row r="40">
      <c r="A40" s="28">
        <v>1692.0</v>
      </c>
      <c r="B40" s="29" t="s">
        <v>6002</v>
      </c>
      <c r="C40" s="29" t="s">
        <v>449</v>
      </c>
      <c r="D40" s="29" t="s">
        <v>5705</v>
      </c>
      <c r="E40" s="29" t="s">
        <v>5706</v>
      </c>
      <c r="F40" s="30"/>
      <c r="G40" s="29" t="s">
        <v>441</v>
      </c>
      <c r="H40" s="29" t="s">
        <v>469</v>
      </c>
      <c r="I40" s="29" t="s">
        <v>41</v>
      </c>
      <c r="J40" s="30"/>
      <c r="K40" s="29" t="s">
        <v>476</v>
      </c>
      <c r="L40" s="29" t="s">
        <v>476</v>
      </c>
      <c r="M40" s="29" t="s">
        <v>6003</v>
      </c>
      <c r="N40" s="29"/>
      <c r="O40" s="29"/>
      <c r="P40" s="29" t="s">
        <v>6004</v>
      </c>
    </row>
    <row r="41">
      <c r="A41" s="28">
        <v>1693.0</v>
      </c>
      <c r="B41" s="29" t="s">
        <v>6005</v>
      </c>
      <c r="C41" s="29" t="s">
        <v>449</v>
      </c>
      <c r="D41" s="29" t="s">
        <v>5705</v>
      </c>
      <c r="E41" s="29" t="s">
        <v>5706</v>
      </c>
      <c r="F41" s="30"/>
      <c r="G41" s="29" t="s">
        <v>441</v>
      </c>
      <c r="H41" s="29" t="s">
        <v>592</v>
      </c>
      <c r="I41" s="29" t="s">
        <v>41</v>
      </c>
      <c r="J41" s="30"/>
      <c r="K41" s="29" t="s">
        <v>1731</v>
      </c>
      <c r="L41" s="29" t="s">
        <v>2984</v>
      </c>
      <c r="M41" s="29" t="s">
        <v>6006</v>
      </c>
      <c r="N41" s="29"/>
      <c r="O41" s="29"/>
      <c r="P41" s="29" t="s">
        <v>6007</v>
      </c>
    </row>
    <row r="42">
      <c r="A42" s="28">
        <v>1694.0</v>
      </c>
      <c r="B42" s="29" t="s">
        <v>6008</v>
      </c>
      <c r="C42" s="29" t="s">
        <v>449</v>
      </c>
      <c r="D42" s="29" t="s">
        <v>5705</v>
      </c>
      <c r="E42" s="29" t="s">
        <v>5706</v>
      </c>
      <c r="F42" s="30"/>
      <c r="G42" s="29" t="s">
        <v>610</v>
      </c>
      <c r="H42" s="29" t="s">
        <v>469</v>
      </c>
      <c r="I42" s="29" t="s">
        <v>41</v>
      </c>
      <c r="J42" s="30"/>
      <c r="K42" s="29" t="s">
        <v>1145</v>
      </c>
      <c r="L42" s="29" t="s">
        <v>6009</v>
      </c>
      <c r="M42" s="29" t="s">
        <v>6010</v>
      </c>
      <c r="N42" s="29"/>
      <c r="O42" s="29"/>
      <c r="P42" s="29" t="s">
        <v>6011</v>
      </c>
    </row>
    <row r="43">
      <c r="A43" s="28">
        <v>10049.0</v>
      </c>
      <c r="B43" s="29" t="s">
        <v>5762</v>
      </c>
      <c r="C43" s="29" t="s">
        <v>432</v>
      </c>
      <c r="D43" s="29" t="s">
        <v>5705</v>
      </c>
      <c r="E43" s="29" t="s">
        <v>5706</v>
      </c>
      <c r="F43" s="30"/>
      <c r="G43" s="29" t="s">
        <v>441</v>
      </c>
      <c r="H43" s="29" t="s">
        <v>434</v>
      </c>
      <c r="I43" s="29" t="s">
        <v>144</v>
      </c>
      <c r="J43" s="30"/>
      <c r="K43" s="30"/>
      <c r="L43" s="29" t="s">
        <v>489</v>
      </c>
      <c r="M43" s="29" t="s">
        <v>3131</v>
      </c>
      <c r="N43" s="29"/>
      <c r="O43" s="29"/>
      <c r="P43" s="29" t="s">
        <v>6012</v>
      </c>
    </row>
    <row r="44">
      <c r="A44" s="28">
        <v>1695.0</v>
      </c>
      <c r="B44" s="29" t="s">
        <v>6013</v>
      </c>
      <c r="C44" s="29" t="s">
        <v>449</v>
      </c>
      <c r="D44" s="29" t="s">
        <v>5771</v>
      </c>
      <c r="E44" s="29" t="s">
        <v>5772</v>
      </c>
      <c r="F44" s="30"/>
      <c r="G44" s="29" t="s">
        <v>441</v>
      </c>
      <c r="H44" s="29" t="s">
        <v>469</v>
      </c>
      <c r="I44" s="29" t="s">
        <v>41</v>
      </c>
      <c r="J44" s="30"/>
      <c r="K44" s="29" t="s">
        <v>1731</v>
      </c>
      <c r="L44" s="29" t="s">
        <v>6014</v>
      </c>
      <c r="M44" s="29" t="s">
        <v>6015</v>
      </c>
      <c r="N44" s="29"/>
      <c r="O44" s="29"/>
      <c r="P44" s="29" t="s">
        <v>6016</v>
      </c>
    </row>
    <row r="45">
      <c r="A45" s="28">
        <v>1704.0</v>
      </c>
      <c r="B45" s="29" t="s">
        <v>6017</v>
      </c>
      <c r="C45" s="29" t="s">
        <v>432</v>
      </c>
      <c r="D45" s="29" t="s">
        <v>5779</v>
      </c>
      <c r="E45" s="29" t="s">
        <v>5780</v>
      </c>
      <c r="F45" s="29" t="s">
        <v>433</v>
      </c>
      <c r="G45" s="29" t="s">
        <v>433</v>
      </c>
      <c r="H45" s="29" t="s">
        <v>6018</v>
      </c>
      <c r="I45" s="29" t="s">
        <v>144</v>
      </c>
      <c r="J45" s="29" t="s">
        <v>6019</v>
      </c>
      <c r="K45" s="29" t="s">
        <v>6020</v>
      </c>
      <c r="L45" s="29" t="s">
        <v>6021</v>
      </c>
      <c r="M45" s="29" t="s">
        <v>6022</v>
      </c>
      <c r="N45" s="29"/>
      <c r="O45" s="29"/>
      <c r="P45" s="29" t="s">
        <v>6023</v>
      </c>
    </row>
    <row r="46">
      <c r="A46" s="28">
        <v>1710.0</v>
      </c>
      <c r="B46" s="29" t="s">
        <v>6024</v>
      </c>
      <c r="C46" s="29" t="s">
        <v>432</v>
      </c>
      <c r="D46" s="29" t="s">
        <v>5787</v>
      </c>
      <c r="E46" s="29" t="s">
        <v>5788</v>
      </c>
      <c r="F46" s="30"/>
      <c r="G46" s="29" t="s">
        <v>441</v>
      </c>
      <c r="H46" s="29" t="s">
        <v>519</v>
      </c>
      <c r="I46" s="29" t="s">
        <v>435</v>
      </c>
      <c r="J46" s="30"/>
      <c r="K46" s="29" t="s">
        <v>547</v>
      </c>
      <c r="L46" s="29" t="s">
        <v>3106</v>
      </c>
      <c r="M46" s="29" t="s">
        <v>6025</v>
      </c>
      <c r="N46" s="29"/>
      <c r="O46" s="29"/>
      <c r="P46" s="29" t="s">
        <v>6026</v>
      </c>
    </row>
    <row r="47">
      <c r="A47" s="28">
        <v>1712.0</v>
      </c>
      <c r="B47" s="29" t="s">
        <v>6027</v>
      </c>
      <c r="C47" s="29" t="s">
        <v>449</v>
      </c>
      <c r="D47" s="29" t="s">
        <v>5787</v>
      </c>
      <c r="E47" s="29" t="s">
        <v>5788</v>
      </c>
      <c r="F47" s="30"/>
      <c r="G47" s="29" t="s">
        <v>441</v>
      </c>
      <c r="H47" s="29" t="s">
        <v>6028</v>
      </c>
      <c r="I47" s="29" t="s">
        <v>41</v>
      </c>
      <c r="J47" s="30"/>
      <c r="K47" s="29" t="s">
        <v>542</v>
      </c>
      <c r="L47" s="29" t="s">
        <v>6029</v>
      </c>
      <c r="M47" s="29" t="s">
        <v>6030</v>
      </c>
      <c r="N47" s="29"/>
      <c r="O47" s="29"/>
      <c r="P47" s="29" t="s">
        <v>6031</v>
      </c>
    </row>
    <row r="48">
      <c r="A48" s="28">
        <v>10379.0</v>
      </c>
      <c r="B48" s="29" t="s">
        <v>6032</v>
      </c>
      <c r="C48" s="29" t="s">
        <v>449</v>
      </c>
      <c r="D48" s="29" t="s">
        <v>5802</v>
      </c>
      <c r="E48" s="29" t="s">
        <v>5803</v>
      </c>
      <c r="F48" s="30"/>
      <c r="G48" s="29" t="s">
        <v>2358</v>
      </c>
      <c r="H48" s="29" t="s">
        <v>671</v>
      </c>
      <c r="I48" s="29" t="s">
        <v>45</v>
      </c>
      <c r="J48" s="29" t="s">
        <v>6033</v>
      </c>
      <c r="K48" s="30"/>
      <c r="L48" s="29" t="s">
        <v>6034</v>
      </c>
      <c r="M48" s="29" t="s">
        <v>6035</v>
      </c>
      <c r="N48" s="29"/>
      <c r="O48" s="29"/>
      <c r="P48" s="29" t="s">
        <v>6036</v>
      </c>
    </row>
    <row r="49">
      <c r="A49" s="28">
        <v>10381.0</v>
      </c>
      <c r="B49" s="29" t="s">
        <v>6037</v>
      </c>
      <c r="C49" s="29" t="s">
        <v>432</v>
      </c>
      <c r="D49" s="29" t="s">
        <v>5802</v>
      </c>
      <c r="E49" s="29" t="s">
        <v>5803</v>
      </c>
      <c r="F49" s="30"/>
      <c r="G49" s="29" t="s">
        <v>664</v>
      </c>
      <c r="H49" s="29" t="s">
        <v>434</v>
      </c>
      <c r="I49" s="29" t="s">
        <v>144</v>
      </c>
      <c r="J49" s="30"/>
      <c r="K49" s="29" t="s">
        <v>1875</v>
      </c>
      <c r="L49" s="29" t="s">
        <v>674</v>
      </c>
      <c r="M49" s="29" t="s">
        <v>6038</v>
      </c>
      <c r="N49" s="29"/>
      <c r="O49" s="29"/>
      <c r="P49" s="29" t="s">
        <v>6039</v>
      </c>
    </row>
    <row r="50">
      <c r="A50" s="28">
        <v>1720.0</v>
      </c>
      <c r="B50" s="29" t="s">
        <v>6040</v>
      </c>
      <c r="C50" s="29" t="s">
        <v>432</v>
      </c>
      <c r="D50" s="29" t="s">
        <v>5310</v>
      </c>
      <c r="E50" s="29" t="s">
        <v>5311</v>
      </c>
      <c r="F50" s="29" t="s">
        <v>433</v>
      </c>
      <c r="G50" s="29" t="s">
        <v>433</v>
      </c>
      <c r="H50" s="29" t="s">
        <v>6041</v>
      </c>
      <c r="I50" s="29" t="s">
        <v>234</v>
      </c>
      <c r="J50" s="29" t="s">
        <v>6042</v>
      </c>
      <c r="K50" s="29" t="s">
        <v>6043</v>
      </c>
      <c r="L50" s="29" t="s">
        <v>6044</v>
      </c>
      <c r="M50" s="29" t="s">
        <v>6045</v>
      </c>
      <c r="N50" s="29"/>
      <c r="O50" s="29"/>
      <c r="P50" s="29" t="s">
        <v>6046</v>
      </c>
    </row>
    <row r="51">
      <c r="A51" s="28">
        <v>1722.0</v>
      </c>
      <c r="B51" s="29" t="s">
        <v>6047</v>
      </c>
      <c r="C51" s="29" t="s">
        <v>449</v>
      </c>
      <c r="D51" s="29" t="s">
        <v>5310</v>
      </c>
      <c r="E51" s="29" t="s">
        <v>5311</v>
      </c>
      <c r="F51" s="30"/>
      <c r="G51" s="29" t="s">
        <v>441</v>
      </c>
      <c r="H51" s="29" t="s">
        <v>5994</v>
      </c>
      <c r="I51" s="29" t="s">
        <v>41</v>
      </c>
      <c r="J51" s="30"/>
      <c r="K51" s="29" t="s">
        <v>3146</v>
      </c>
      <c r="L51" s="29" t="s">
        <v>5965</v>
      </c>
      <c r="M51" s="29" t="s">
        <v>6048</v>
      </c>
      <c r="N51" s="29"/>
      <c r="O51" s="29"/>
      <c r="P51" s="29" t="s">
        <v>6049</v>
      </c>
    </row>
    <row r="52">
      <c r="A52" s="28">
        <v>1723.0</v>
      </c>
      <c r="B52" s="29" t="s">
        <v>6050</v>
      </c>
      <c r="C52" s="29" t="s">
        <v>449</v>
      </c>
      <c r="D52" s="29" t="s">
        <v>5310</v>
      </c>
      <c r="E52" s="29" t="s">
        <v>5311</v>
      </c>
      <c r="F52" s="30"/>
      <c r="G52" s="29" t="s">
        <v>441</v>
      </c>
      <c r="H52" s="29" t="s">
        <v>469</v>
      </c>
      <c r="I52" s="29" t="s">
        <v>41</v>
      </c>
      <c r="J52" s="30"/>
      <c r="K52" s="29" t="s">
        <v>521</v>
      </c>
      <c r="L52" s="29" t="s">
        <v>2520</v>
      </c>
      <c r="M52" s="29" t="s">
        <v>6051</v>
      </c>
      <c r="N52" s="29"/>
      <c r="O52" s="29"/>
      <c r="P52" s="29" t="s">
        <v>6052</v>
      </c>
    </row>
    <row r="53">
      <c r="A53" s="28">
        <v>2001.0</v>
      </c>
      <c r="B53" s="29" t="s">
        <v>6053</v>
      </c>
      <c r="C53" s="29" t="s">
        <v>432</v>
      </c>
      <c r="D53" s="29" t="s">
        <v>5310</v>
      </c>
      <c r="E53" s="29" t="s">
        <v>5311</v>
      </c>
      <c r="F53" s="30"/>
      <c r="G53" s="29" t="s">
        <v>433</v>
      </c>
      <c r="H53" s="29" t="s">
        <v>434</v>
      </c>
      <c r="I53" s="29" t="s">
        <v>144</v>
      </c>
      <c r="J53" s="30"/>
      <c r="K53" s="29" t="s">
        <v>3624</v>
      </c>
      <c r="L53" s="29" t="s">
        <v>6054</v>
      </c>
      <c r="M53" s="29" t="s">
        <v>6055</v>
      </c>
      <c r="N53" s="29"/>
      <c r="O53" s="29"/>
      <c r="P53" s="29" t="s">
        <v>6056</v>
      </c>
    </row>
    <row r="54">
      <c r="A54" s="28">
        <v>8605.0</v>
      </c>
      <c r="B54" s="29" t="s">
        <v>6057</v>
      </c>
      <c r="C54" s="29" t="s">
        <v>449</v>
      </c>
      <c r="D54" s="29" t="s">
        <v>5310</v>
      </c>
      <c r="E54" s="29" t="s">
        <v>5311</v>
      </c>
      <c r="F54" s="30"/>
      <c r="G54" s="29" t="s">
        <v>441</v>
      </c>
      <c r="H54" s="29" t="s">
        <v>6058</v>
      </c>
      <c r="I54" s="29" t="s">
        <v>41</v>
      </c>
      <c r="J54" s="30"/>
      <c r="K54" s="29" t="s">
        <v>537</v>
      </c>
      <c r="L54" s="29" t="s">
        <v>489</v>
      </c>
      <c r="M54" s="29" t="s">
        <v>6059</v>
      </c>
      <c r="N54" s="29"/>
      <c r="O54" s="29"/>
      <c r="P54" s="29" t="s">
        <v>6060</v>
      </c>
    </row>
    <row r="55">
      <c r="A55" s="28">
        <v>9450.0</v>
      </c>
      <c r="B55" s="29" t="s">
        <v>6061</v>
      </c>
      <c r="C55" s="29" t="s">
        <v>432</v>
      </c>
      <c r="D55" s="29" t="s">
        <v>5310</v>
      </c>
      <c r="E55" s="29" t="s">
        <v>5311</v>
      </c>
      <c r="F55" s="30"/>
      <c r="G55" s="29" t="s">
        <v>441</v>
      </c>
      <c r="H55" s="29" t="s">
        <v>6062</v>
      </c>
      <c r="I55" s="29" t="s">
        <v>443</v>
      </c>
      <c r="J55" s="30"/>
      <c r="K55" s="29" t="s">
        <v>1305</v>
      </c>
      <c r="L55" s="29" t="s">
        <v>489</v>
      </c>
      <c r="M55" s="29" t="s">
        <v>6063</v>
      </c>
      <c r="N55" s="29"/>
      <c r="O55" s="29"/>
      <c r="P55" s="29" t="s">
        <v>6064</v>
      </c>
    </row>
    <row r="56">
      <c r="A56" s="28">
        <v>10484.0</v>
      </c>
      <c r="B56" s="29" t="s">
        <v>6065</v>
      </c>
      <c r="C56" s="29" t="s">
        <v>432</v>
      </c>
      <c r="D56" s="29" t="s">
        <v>5310</v>
      </c>
      <c r="E56" s="29" t="s">
        <v>5311</v>
      </c>
      <c r="F56" s="30"/>
      <c r="G56" s="29" t="s">
        <v>441</v>
      </c>
      <c r="H56" s="29" t="s">
        <v>469</v>
      </c>
      <c r="I56" s="29" t="s">
        <v>6066</v>
      </c>
      <c r="J56" s="30"/>
      <c r="K56" s="29" t="s">
        <v>1305</v>
      </c>
      <c r="L56" s="29" t="s">
        <v>489</v>
      </c>
      <c r="M56" s="29" t="s">
        <v>6067</v>
      </c>
      <c r="N56" s="29"/>
      <c r="O56" s="29"/>
      <c r="P56" s="29" t="s">
        <v>6068</v>
      </c>
    </row>
    <row r="57">
      <c r="A57" s="28">
        <v>10060.0</v>
      </c>
      <c r="B57" s="29" t="s">
        <v>6069</v>
      </c>
      <c r="C57" s="29" t="s">
        <v>432</v>
      </c>
      <c r="D57" s="29" t="s">
        <v>4950</v>
      </c>
      <c r="E57" s="29" t="s">
        <v>4951</v>
      </c>
      <c r="F57" s="30"/>
      <c r="G57" s="29" t="s">
        <v>6070</v>
      </c>
      <c r="H57" s="29" t="s">
        <v>6071</v>
      </c>
      <c r="I57" s="29" t="s">
        <v>41</v>
      </c>
      <c r="J57" s="30"/>
      <c r="K57" s="30"/>
      <c r="L57" s="29" t="s">
        <v>6072</v>
      </c>
      <c r="M57" s="29" t="s">
        <v>6073</v>
      </c>
      <c r="N57" s="29"/>
      <c r="O57" s="29"/>
      <c r="P57" s="29" t="s">
        <v>6074</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3819</v>
      </c>
    </row>
    <row r="4">
      <c r="A4" s="1" t="s">
        <v>1541</v>
      </c>
    </row>
    <row r="5">
      <c r="A5" s="1" t="s">
        <v>5672</v>
      </c>
    </row>
    <row r="6">
      <c r="A6" s="1" t="s">
        <v>272</v>
      </c>
    </row>
    <row r="7">
      <c r="A7" s="1" t="s">
        <v>41</v>
      </c>
    </row>
    <row r="8">
      <c r="A8" s="1" t="s">
        <v>6075</v>
      </c>
    </row>
    <row r="9">
      <c r="A9" s="1" t="s">
        <v>18</v>
      </c>
    </row>
    <row r="10">
      <c r="A10" s="1" t="s">
        <v>6076</v>
      </c>
    </row>
    <row r="11">
      <c r="A11" s="1" t="s">
        <v>5539</v>
      </c>
    </row>
    <row r="12">
      <c r="A12" s="1" t="s">
        <v>3757</v>
      </c>
    </row>
    <row r="13">
      <c r="A13" s="1" t="s">
        <v>6077</v>
      </c>
    </row>
    <row r="14">
      <c r="A14" s="1" t="s">
        <v>6078</v>
      </c>
    </row>
    <row r="15">
      <c r="A15" s="1" t="s">
        <v>6079</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6080</v>
      </c>
    </row>
    <row r="26">
      <c r="A26" s="1" t="s">
        <v>372</v>
      </c>
    </row>
    <row r="27">
      <c r="A27" s="1" t="s">
        <v>6081</v>
      </c>
    </row>
    <row r="28">
      <c r="A28" s="1" t="s">
        <v>144</v>
      </c>
    </row>
    <row r="29">
      <c r="A29" s="1" t="s">
        <v>253</v>
      </c>
    </row>
    <row r="30">
      <c r="A30" s="1" t="s">
        <v>1532</v>
      </c>
    </row>
    <row r="31">
      <c r="A31" s="1" t="s">
        <v>972</v>
      </c>
    </row>
    <row r="32">
      <c r="A32" s="1" t="s">
        <v>305</v>
      </c>
    </row>
    <row r="33">
      <c r="A33" s="1" t="s">
        <v>295</v>
      </c>
    </row>
    <row r="34">
      <c r="A34" s="1" t="s">
        <v>85</v>
      </c>
    </row>
    <row r="35">
      <c r="A35" s="1" t="s">
        <v>102</v>
      </c>
    </row>
    <row r="36">
      <c r="A36" s="1" t="s">
        <v>187</v>
      </c>
    </row>
    <row r="37">
      <c r="A37" s="1" t="s">
        <v>6082</v>
      </c>
    </row>
    <row r="38">
      <c r="A38" s="1" t="s">
        <v>6083</v>
      </c>
    </row>
    <row r="39">
      <c r="A39" s="1" t="s">
        <v>903</v>
      </c>
    </row>
    <row r="40">
      <c r="A40" s="1" t="s">
        <v>4474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1437</v>
      </c>
      <c r="J38" s="4" t="s">
        <v>1438</v>
      </c>
      <c r="K38" s="150" t="s">
        <v>1439</v>
      </c>
      <c r="L38" s="1" t="s">
        <v>1328</v>
      </c>
      <c r="N38" s="1" t="s">
        <v>326</v>
      </c>
    </row>
    <row r="39">
      <c r="A39" s="1">
        <v>10188.0</v>
      </c>
      <c r="B39" s="140" t="s">
        <v>1440</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1437</v>
      </c>
      <c r="J39" s="4" t="s">
        <v>1441</v>
      </c>
      <c r="K39" s="4" t="s">
        <v>1442</v>
      </c>
      <c r="L39" s="1" t="s">
        <v>1328</v>
      </c>
      <c r="N39" s="1" t="s">
        <v>326</v>
      </c>
    </row>
    <row r="40">
      <c r="A40" s="146">
        <v>10377.0</v>
      </c>
      <c r="B40" s="147"/>
      <c r="C40" s="146" t="str">
        <f>IFERROR(__xludf.DUMMYFUNCTION("GOOGLETRANSLATE(B40)"),"#VALUE!")</f>
        <v>#VALUE!</v>
      </c>
      <c r="D40" s="146" t="s">
        <v>1435</v>
      </c>
      <c r="E40" s="1" t="s">
        <v>1436</v>
      </c>
      <c r="F40" s="147"/>
      <c r="G40" s="147"/>
      <c r="H40" s="147"/>
      <c r="I40" s="147"/>
      <c r="J40" s="146" t="s">
        <v>1443</v>
      </c>
      <c r="K40" s="152" t="s">
        <v>1444</v>
      </c>
      <c r="L40" s="146" t="s">
        <v>1328</v>
      </c>
      <c r="M40" s="147"/>
      <c r="N40" s="146" t="s">
        <v>1445</v>
      </c>
      <c r="O40" s="147"/>
      <c r="P40" s="147"/>
      <c r="Q40" s="147"/>
      <c r="R40" s="147"/>
      <c r="S40" s="147"/>
      <c r="T40" s="147"/>
      <c r="U40" s="147"/>
      <c r="V40" s="147"/>
      <c r="W40" s="147"/>
      <c r="X40" s="147"/>
      <c r="Y40" s="147"/>
      <c r="Z40" s="147"/>
      <c r="AA40" s="147"/>
      <c r="AB40" s="147"/>
    </row>
    <row r="41">
      <c r="A41" s="1">
        <v>10377.0</v>
      </c>
      <c r="B41" s="140" t="s">
        <v>1446</v>
      </c>
      <c r="C41" s="140" t="str">
        <f>IFERROR(__xludf.DUMMYFUNCTION("GOOGLETRANSLATE(B41)"),"2021-2023 Climate Action Plan_ENG")</f>
        <v>2021-2023 Climate Action Plan_ENG</v>
      </c>
      <c r="D41" s="1" t="s">
        <v>1435</v>
      </c>
      <c r="E41" s="1" t="s">
        <v>1436</v>
      </c>
      <c r="F41" s="1" t="s">
        <v>234</v>
      </c>
      <c r="G41" s="140"/>
      <c r="H41" s="140">
        <v>2021.0</v>
      </c>
      <c r="I41" s="140" t="s">
        <v>24</v>
      </c>
      <c r="J41" s="1" t="s">
        <v>1447</v>
      </c>
      <c r="K41" s="4" t="s">
        <v>1448</v>
      </c>
      <c r="L41" s="1" t="s">
        <v>1328</v>
      </c>
      <c r="N41" s="1" t="s">
        <v>48</v>
      </c>
    </row>
    <row r="42">
      <c r="A42" s="1">
        <v>10400.0</v>
      </c>
      <c r="B42" s="140" t="s">
        <v>1449</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1450</v>
      </c>
      <c r="K42" s="4" t="s">
        <v>1451</v>
      </c>
      <c r="L42" s="1" t="s">
        <v>1328</v>
      </c>
      <c r="N42" s="1" t="s">
        <v>92</v>
      </c>
    </row>
    <row r="43">
      <c r="A43" s="1">
        <v>10400.0</v>
      </c>
      <c r="B43" s="140" t="s">
        <v>1452</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1437</v>
      </c>
      <c r="J43" s="4" t="s">
        <v>1453</v>
      </c>
      <c r="K43" s="4" t="s">
        <v>1454</v>
      </c>
      <c r="L43" s="1" t="s">
        <v>1328</v>
      </c>
      <c r="N43" s="1" t="s">
        <v>326</v>
      </c>
    </row>
    <row r="44">
      <c r="A44" s="1">
        <v>10413.0</v>
      </c>
      <c r="B44" s="140" t="s">
        <v>1455</v>
      </c>
      <c r="C44" s="140" t="str">
        <f>IFERROR(__xludf.DUMMYFUNCTION("GOOGLETRANSLATE(B44)"),"Law of Georgia
Chapter I. General Provisions")</f>
        <v>Law of Georgia
Chapter I. General Provisions</v>
      </c>
      <c r="D44" s="1" t="s">
        <v>1435</v>
      </c>
      <c r="E44" s="1" t="s">
        <v>1436</v>
      </c>
      <c r="F44" s="1" t="s">
        <v>41</v>
      </c>
      <c r="G44" s="151"/>
      <c r="H44" s="151"/>
      <c r="I44" s="140" t="s">
        <v>1437</v>
      </c>
      <c r="J44" s="1" t="s">
        <v>1456</v>
      </c>
      <c r="K44" s="4" t="s">
        <v>1457</v>
      </c>
      <c r="L44" s="1" t="s">
        <v>1328</v>
      </c>
      <c r="N44" s="1" t="s">
        <v>23</v>
      </c>
    </row>
    <row r="45">
      <c r="A45" s="1">
        <v>10413.0</v>
      </c>
      <c r="B45" s="140" t="s">
        <v>1458</v>
      </c>
      <c r="C45" s="140" t="s">
        <v>1459</v>
      </c>
      <c r="D45" s="1" t="s">
        <v>1435</v>
      </c>
      <c r="E45" s="1" t="s">
        <v>1436</v>
      </c>
      <c r="F45" s="1" t="s">
        <v>850</v>
      </c>
      <c r="G45" s="140"/>
      <c r="H45" s="140">
        <v>2021.0</v>
      </c>
      <c r="I45" s="140" t="s">
        <v>1437</v>
      </c>
      <c r="J45" s="4" t="s">
        <v>1460</v>
      </c>
      <c r="K45" s="4" t="s">
        <v>1461</v>
      </c>
      <c r="L45" s="1" t="s">
        <v>1328</v>
      </c>
      <c r="N45" s="1" t="s">
        <v>326</v>
      </c>
    </row>
    <row r="46">
      <c r="A46" s="1">
        <v>10413.0</v>
      </c>
      <c r="B46" s="140" t="s">
        <v>1462</v>
      </c>
      <c r="C46" s="140" t="s">
        <v>1463</v>
      </c>
      <c r="D46" s="1" t="s">
        <v>1435</v>
      </c>
      <c r="E46" s="1" t="s">
        <v>1436</v>
      </c>
      <c r="F46" s="145" t="s">
        <v>137</v>
      </c>
      <c r="G46" s="140"/>
      <c r="H46" s="140">
        <v>2022.0</v>
      </c>
      <c r="I46" s="140" t="s">
        <v>1437</v>
      </c>
      <c r="J46" s="4" t="s">
        <v>1464</v>
      </c>
      <c r="K46" s="4" t="s">
        <v>1465</v>
      </c>
      <c r="L46" s="1" t="s">
        <v>1328</v>
      </c>
      <c r="N46" s="1" t="s">
        <v>326</v>
      </c>
    </row>
    <row r="47">
      <c r="A47" s="1">
        <v>1251.0</v>
      </c>
      <c r="B47" s="140" t="s">
        <v>1466</v>
      </c>
      <c r="C47" s="140" t="s">
        <v>1467</v>
      </c>
      <c r="D47" s="1" t="s">
        <v>1468</v>
      </c>
      <c r="E47" s="1" t="s">
        <v>1469</v>
      </c>
      <c r="F47" s="1" t="s">
        <v>144</v>
      </c>
      <c r="G47" s="140"/>
      <c r="H47" s="140">
        <v>2008.0</v>
      </c>
      <c r="I47" s="140" t="s">
        <v>1470</v>
      </c>
      <c r="J47" s="1" t="s">
        <v>1471</v>
      </c>
      <c r="K47" s="4" t="s">
        <v>1472</v>
      </c>
      <c r="L47" s="1" t="s">
        <v>1328</v>
      </c>
      <c r="N47" s="1" t="s">
        <v>23</v>
      </c>
    </row>
    <row r="48">
      <c r="A48" s="1">
        <v>1251.0</v>
      </c>
      <c r="B48" s="140" t="s">
        <v>1466</v>
      </c>
      <c r="C48" s="140" t="str">
        <f>IFERROR(__xludf.DUMMYFUNCTION("GOOGLETRANSLATE(B48)"),"German adaptation strategy to climate change")</f>
        <v>German adaptation strategy to climate change</v>
      </c>
      <c r="D48" s="1" t="s">
        <v>1468</v>
      </c>
      <c r="E48" s="1" t="s">
        <v>1469</v>
      </c>
      <c r="F48" s="1" t="s">
        <v>144</v>
      </c>
      <c r="G48" s="140"/>
      <c r="H48" s="140">
        <v>2008.0</v>
      </c>
      <c r="I48" s="140" t="s">
        <v>1470</v>
      </c>
      <c r="J48" s="1" t="s">
        <v>1473</v>
      </c>
      <c r="K48" s="4" t="s">
        <v>1474</v>
      </c>
      <c r="L48" s="1" t="s">
        <v>1328</v>
      </c>
      <c r="N48" s="1" t="s">
        <v>23</v>
      </c>
    </row>
    <row r="49">
      <c r="A49" s="1">
        <v>1254.0</v>
      </c>
      <c r="B49" s="140" t="s">
        <v>1475</v>
      </c>
      <c r="C49" s="140" t="str">
        <f>IFERROR(__xludf.DUMMYFUNCTION("GOOGLETRANSLATE(B49)"),"Law on the electricity and gas supply (Energy Industry Act - EnWG)")</f>
        <v>Law on the electricity and gas supply (Energy Industry Act - EnWG)</v>
      </c>
      <c r="D49" s="1" t="s">
        <v>1468</v>
      </c>
      <c r="E49" s="1" t="s">
        <v>1469</v>
      </c>
      <c r="F49" s="1" t="s">
        <v>41</v>
      </c>
      <c r="G49" s="140"/>
      <c r="H49" s="140">
        <v>2005.0</v>
      </c>
      <c r="I49" s="140" t="s">
        <v>1470</v>
      </c>
      <c r="J49" s="1" t="s">
        <v>1476</v>
      </c>
      <c r="K49" s="4" t="s">
        <v>1477</v>
      </c>
      <c r="L49" s="1" t="s">
        <v>1328</v>
      </c>
      <c r="N49" s="1" t="s">
        <v>23</v>
      </c>
    </row>
    <row r="50">
      <c r="A50" s="1">
        <v>1254.0</v>
      </c>
      <c r="B50" s="140" t="s">
        <v>1475</v>
      </c>
      <c r="C50" s="140" t="str">
        <f>IFERROR(__xludf.DUMMYFUNCTION("GOOGLETRANSLATE(B50)"),"Law on the electricity and gas supply (Energy Industry Act - EnWG)")</f>
        <v>Law on the electricity and gas supply (Energy Industry Act - EnWG)</v>
      </c>
      <c r="D50" s="1" t="s">
        <v>1468</v>
      </c>
      <c r="E50" s="1" t="s">
        <v>1469</v>
      </c>
      <c r="F50" s="1" t="s">
        <v>41</v>
      </c>
      <c r="G50" s="140"/>
      <c r="H50" s="140">
        <v>2005.0</v>
      </c>
      <c r="I50" s="140" t="s">
        <v>1470</v>
      </c>
      <c r="J50" s="1" t="s">
        <v>1478</v>
      </c>
      <c r="K50" s="4" t="s">
        <v>1479</v>
      </c>
      <c r="L50" s="1" t="s">
        <v>1328</v>
      </c>
      <c r="N50" s="1" t="s">
        <v>275</v>
      </c>
    </row>
    <row r="51">
      <c r="A51" s="1">
        <v>2072.0</v>
      </c>
      <c r="B51" s="140" t="s">
        <v>1480</v>
      </c>
      <c r="C51" s="140" t="str">
        <f>IFERROR(__xludf.DUMMYFUNCTION("GOOGLETRANSLATE(B51)"),"Law for the expansion of renewable energies (Renewable Energy Sources Act - EEG 2017)")</f>
        <v>Law for the expansion of renewable energies (Renewable Energy Sources Act - EEG 2017)</v>
      </c>
      <c r="D51" s="1" t="s">
        <v>1468</v>
      </c>
      <c r="E51" s="1" t="s">
        <v>1469</v>
      </c>
      <c r="F51" s="1" t="s">
        <v>41</v>
      </c>
      <c r="G51" s="140"/>
      <c r="H51" s="140">
        <v>2014.0</v>
      </c>
      <c r="I51" s="140" t="s">
        <v>1470</v>
      </c>
      <c r="J51" s="1" t="s">
        <v>1481</v>
      </c>
      <c r="K51" s="4" t="s">
        <v>1482</v>
      </c>
      <c r="L51" s="1" t="s">
        <v>1328</v>
      </c>
      <c r="N51" s="1" t="s">
        <v>23</v>
      </c>
    </row>
    <row r="52">
      <c r="A52" s="1">
        <v>2072.0</v>
      </c>
      <c r="B52" s="140" t="s">
        <v>1483</v>
      </c>
      <c r="C52" s="140" t="str">
        <f>IFERROR(__xludf.DUMMYFUNCTION("GOOGLETRANSLATE(B52)"),"Law for the expansion of renewable energies (Renewable Energy Sources Act - EEG 2021)")</f>
        <v>Law for the expansion of renewable energies (Renewable Energy Sources Act - EEG 2021)</v>
      </c>
      <c r="D52" s="1" t="s">
        <v>1468</v>
      </c>
      <c r="E52" s="1" t="s">
        <v>1469</v>
      </c>
      <c r="F52" s="1" t="s">
        <v>41</v>
      </c>
      <c r="G52" s="140"/>
      <c r="H52" s="140">
        <v>2014.0</v>
      </c>
      <c r="I52" s="140" t="s">
        <v>1470</v>
      </c>
      <c r="J52" s="1" t="s">
        <v>1484</v>
      </c>
      <c r="K52" s="4" t="s">
        <v>1485</v>
      </c>
      <c r="L52" s="1" t="s">
        <v>1328</v>
      </c>
      <c r="N52" s="1" t="s">
        <v>23</v>
      </c>
    </row>
    <row r="53">
      <c r="A53" s="1">
        <v>8934.0</v>
      </c>
      <c r="B53" s="140" t="s">
        <v>1486</v>
      </c>
      <c r="C53" s="140" t="str">
        <f>IFERROR(__xludf.DUMMYFUNCTION("GOOGLETRANSLATE(B53)"),"Law on the development and promotion of wind energy at sea (Windergie-on-Seee Act-Windseeg)")</f>
        <v>Law on the development and promotion of wind energy at sea (Windergie-on-Seee Act-Windseeg)</v>
      </c>
      <c r="D53" s="1" t="s">
        <v>1468</v>
      </c>
      <c r="E53" s="1" t="s">
        <v>1469</v>
      </c>
      <c r="F53" s="1" t="s">
        <v>41</v>
      </c>
      <c r="G53" s="140"/>
      <c r="H53" s="140">
        <v>2016.0</v>
      </c>
      <c r="I53" s="140" t="s">
        <v>1470</v>
      </c>
      <c r="J53" s="1" t="s">
        <v>1487</v>
      </c>
      <c r="K53" s="4" t="s">
        <v>1488</v>
      </c>
      <c r="L53" s="1" t="s">
        <v>1328</v>
      </c>
      <c r="N53" s="1" t="s">
        <v>23</v>
      </c>
    </row>
    <row r="54">
      <c r="A54" s="1">
        <v>8934.0</v>
      </c>
      <c r="B54" s="140" t="s">
        <v>1489</v>
      </c>
      <c r="C54" s="140" t="str">
        <f>IFERROR(__xludf.DUMMYFUNCTION("GOOGLETRANSLATE(B54)"),"Offshore Wind Energy Act (WindSeeG 2017)")</f>
        <v>Offshore Wind Energy Act (WindSeeG 2017)</v>
      </c>
      <c r="D54" s="1" t="s">
        <v>1468</v>
      </c>
      <c r="E54" s="1" t="s">
        <v>1469</v>
      </c>
      <c r="F54" s="1" t="s">
        <v>41</v>
      </c>
      <c r="G54" s="140"/>
      <c r="H54" s="140">
        <v>2017.0</v>
      </c>
      <c r="I54" s="140" t="s">
        <v>24</v>
      </c>
      <c r="J54" s="1" t="s">
        <v>1490</v>
      </c>
      <c r="K54" s="4" t="s">
        <v>1491</v>
      </c>
      <c r="L54" s="1" t="s">
        <v>1328</v>
      </c>
      <c r="N54" s="1" t="s">
        <v>23</v>
      </c>
    </row>
    <row r="55">
      <c r="A55" s="1">
        <v>8934.0</v>
      </c>
      <c r="B55" s="140" t="s">
        <v>1486</v>
      </c>
      <c r="C55" s="140" t="str">
        <f>IFERROR(__xludf.DUMMYFUNCTION("GOOGLETRANSLATE(B55)"),"Law on the development and promotion of wind energy at sea (Windergie-on-Seee Act-Windseeg)")</f>
        <v>Law on the development and promotion of wind energy at sea (Windergie-on-Seee Act-Windseeg)</v>
      </c>
      <c r="D55" s="1" t="s">
        <v>1468</v>
      </c>
      <c r="E55" s="1" t="s">
        <v>1469</v>
      </c>
      <c r="F55" s="1" t="s">
        <v>41</v>
      </c>
      <c r="G55" s="140"/>
      <c r="H55" s="140">
        <v>2016.0</v>
      </c>
      <c r="I55" s="140" t="s">
        <v>1470</v>
      </c>
      <c r="J55" s="1" t="s">
        <v>1492</v>
      </c>
      <c r="K55" s="4" t="s">
        <v>1493</v>
      </c>
      <c r="L55" s="1" t="s">
        <v>1328</v>
      </c>
      <c r="N55" s="1" t="s">
        <v>23</v>
      </c>
    </row>
    <row r="56">
      <c r="A56" s="1">
        <v>8934.0</v>
      </c>
      <c r="B56" s="140" t="s">
        <v>1486</v>
      </c>
      <c r="C56" s="140" t="str">
        <f>IFERROR(__xludf.DUMMYFUNCTION("GOOGLETRANSLATE(B56)"),"Law on the development and promotion of wind energy at sea (Windergie-on-Seee Act-Windseeg)")</f>
        <v>Law on the development and promotion of wind energy at sea (Windergie-on-Seee Act-Windseeg)</v>
      </c>
      <c r="D56" s="1" t="s">
        <v>1468</v>
      </c>
      <c r="E56" s="1" t="s">
        <v>1469</v>
      </c>
      <c r="F56" s="1" t="s">
        <v>41</v>
      </c>
      <c r="G56" s="151"/>
      <c r="H56" s="151"/>
      <c r="I56" s="140" t="s">
        <v>1470</v>
      </c>
      <c r="J56" s="1" t="s">
        <v>1494</v>
      </c>
      <c r="K56" s="4" t="s">
        <v>1495</v>
      </c>
      <c r="L56" s="1" t="s">
        <v>1328</v>
      </c>
      <c r="N56" s="1" t="s">
        <v>275</v>
      </c>
    </row>
    <row r="57">
      <c r="A57" s="1">
        <v>9409.0</v>
      </c>
      <c r="B57" s="140" t="s">
        <v>1496</v>
      </c>
      <c r="C57" s="140" t="str">
        <f>IFERROR(__xludf.DUMMYFUNCTION("GOOGLETRANSLATE(B57)"),"Federal Law Gazette Part I No. 48")</f>
        <v>Federal Law Gazette Part I No. 48</v>
      </c>
      <c r="D57" s="1" t="s">
        <v>1468</v>
      </c>
      <c r="E57" s="1" t="s">
        <v>1469</v>
      </c>
      <c r="F57" s="1" t="s">
        <v>41</v>
      </c>
      <c r="G57" s="140"/>
      <c r="H57" s="140">
        <v>2019.0</v>
      </c>
      <c r="I57" s="140" t="s">
        <v>1470</v>
      </c>
      <c r="J57" s="4" t="s">
        <v>1497</v>
      </c>
      <c r="K57" s="4" t="s">
        <v>1498</v>
      </c>
      <c r="L57" s="1" t="s">
        <v>1328</v>
      </c>
      <c r="N57" s="1" t="s">
        <v>229</v>
      </c>
    </row>
    <row r="58">
      <c r="A58" s="142">
        <v>9409.0</v>
      </c>
      <c r="B58" s="143"/>
      <c r="C58" s="142" t="str">
        <f>IFERROR(__xludf.DUMMYFUNCTION("GOOGLETRANSLATE(B58)"),"#VALUE!")</f>
        <v>#VALUE!</v>
      </c>
      <c r="D58" s="142" t="s">
        <v>1468</v>
      </c>
      <c r="E58" s="142" t="s">
        <v>1469</v>
      </c>
      <c r="F58" s="143"/>
      <c r="G58" s="143"/>
      <c r="H58" s="143"/>
      <c r="I58" s="143"/>
      <c r="J58" s="142" t="s">
        <v>1499</v>
      </c>
      <c r="K58" s="144" t="s">
        <v>1500</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1501</v>
      </c>
      <c r="C59" s="140" t="str">
        <f>IFERROR(__xludf.DUMMYFUNCTION("GOOGLETRANSLATE(B59)"),"Federal Climate Change Act")</f>
        <v>Federal Climate Change Act</v>
      </c>
      <c r="D59" s="1" t="s">
        <v>1468</v>
      </c>
      <c r="E59" s="1" t="s">
        <v>1469</v>
      </c>
      <c r="F59" s="1" t="s">
        <v>45</v>
      </c>
      <c r="G59" s="140"/>
      <c r="H59" s="140">
        <v>2019.0</v>
      </c>
      <c r="I59" s="140" t="s">
        <v>24</v>
      </c>
      <c r="J59" s="1" t="s">
        <v>1502</v>
      </c>
      <c r="K59" s="4" t="s">
        <v>1503</v>
      </c>
      <c r="L59" s="1" t="s">
        <v>1328</v>
      </c>
      <c r="N59" s="1" t="s">
        <v>23</v>
      </c>
    </row>
    <row r="60">
      <c r="A60" s="1">
        <v>9409.0</v>
      </c>
      <c r="B60" s="140" t="s">
        <v>1504</v>
      </c>
      <c r="C60" s="140" t="str">
        <f>IFERROR(__xludf.DUMMYFUNCTION("GOOGLETRANSLATE(B60)"),"Reading of the Federal Climate Protection Act 2021")</f>
        <v>Reading of the Federal Climate Protection Act 2021</v>
      </c>
      <c r="D60" s="1" t="s">
        <v>1468</v>
      </c>
      <c r="E60" s="1" t="s">
        <v>1469</v>
      </c>
      <c r="F60" s="1" t="s">
        <v>45</v>
      </c>
      <c r="G60" s="140"/>
      <c r="H60" s="140">
        <v>2021.0</v>
      </c>
      <c r="I60" s="140" t="s">
        <v>1470</v>
      </c>
      <c r="J60" s="1" t="s">
        <v>1505</v>
      </c>
      <c r="K60" s="4" t="s">
        <v>1506</v>
      </c>
      <c r="L60" s="1" t="s">
        <v>1328</v>
      </c>
      <c r="N60" s="1" t="s">
        <v>23</v>
      </c>
    </row>
    <row r="61">
      <c r="A61" s="1">
        <v>9409.0</v>
      </c>
      <c r="B61" s="140" t="s">
        <v>1507</v>
      </c>
      <c r="C61" s="140" t="str">
        <f>IFERROR(__xludf.DUMMYFUNCTION("GOOGLETRANSLATE(B61)"),"Climate Change Act 2021")</f>
        <v>Climate Change Act 2021</v>
      </c>
      <c r="D61" s="1" t="s">
        <v>1468</v>
      </c>
      <c r="E61" s="1" t="s">
        <v>1469</v>
      </c>
      <c r="F61" s="1" t="s">
        <v>45</v>
      </c>
      <c r="G61" s="140"/>
      <c r="H61" s="140">
        <v>2021.0</v>
      </c>
      <c r="I61" s="140" t="s">
        <v>24</v>
      </c>
      <c r="J61" s="1" t="s">
        <v>1508</v>
      </c>
      <c r="K61" s="4" t="s">
        <v>1509</v>
      </c>
      <c r="L61" s="1" t="s">
        <v>1328</v>
      </c>
      <c r="N61" s="1" t="s">
        <v>229</v>
      </c>
    </row>
    <row r="62">
      <c r="A62" s="1">
        <v>9503.0</v>
      </c>
      <c r="B62" s="140" t="s">
        <v>1510</v>
      </c>
      <c r="C62" s="140" t="str">
        <f>IFERROR(__xludf.DUMMYFUNCTION("GOOGLETRANSLATE(B62)"),"Integrated National Energy and Climate Plan")</f>
        <v>Integrated National Energy and Climate Plan</v>
      </c>
      <c r="D62" s="1" t="s">
        <v>1468</v>
      </c>
      <c r="E62" s="1" t="s">
        <v>1469</v>
      </c>
      <c r="F62" s="1" t="s">
        <v>234</v>
      </c>
      <c r="G62" s="140"/>
      <c r="H62" s="140">
        <v>2019.0</v>
      </c>
      <c r="I62" s="140" t="s">
        <v>24</v>
      </c>
      <c r="J62" s="1" t="s">
        <v>1511</v>
      </c>
      <c r="K62" s="4" t="s">
        <v>1512</v>
      </c>
      <c r="L62" s="1" t="s">
        <v>1328</v>
      </c>
      <c r="N62" s="1" t="s">
        <v>23</v>
      </c>
    </row>
    <row r="63">
      <c r="A63" s="1">
        <v>9503.0</v>
      </c>
      <c r="B63" s="140" t="s">
        <v>1513</v>
      </c>
      <c r="C63" s="140" t="str">
        <f>IFERROR(__xludf.DUMMYFUNCTION("GOOGLETRANSLATE(B63)"),"Integrated national energy and climate plan")</f>
        <v>Integrated national energy and climate plan</v>
      </c>
      <c r="D63" s="1" t="s">
        <v>1468</v>
      </c>
      <c r="E63" s="1" t="s">
        <v>1469</v>
      </c>
      <c r="F63" s="1" t="s">
        <v>234</v>
      </c>
      <c r="G63" s="140"/>
      <c r="H63" s="140">
        <v>2019.0</v>
      </c>
      <c r="I63" s="140" t="s">
        <v>1470</v>
      </c>
      <c r="J63" s="1" t="s">
        <v>1514</v>
      </c>
      <c r="K63" s="4" t="s">
        <v>1515</v>
      </c>
      <c r="L63" s="1" t="s">
        <v>1328</v>
      </c>
      <c r="N63" s="1" t="s">
        <v>23</v>
      </c>
    </row>
    <row r="64">
      <c r="A64" s="1">
        <v>9723.0</v>
      </c>
      <c r="B64" s="140" t="s">
        <v>1516</v>
      </c>
      <c r="C64" s="140" t="str">
        <f>IFERROR(__xludf.DUMMYFUNCTION("GOOGLETRANSLATE(B64)"),"Law on a national certificate trade for fuel emissions")</f>
        <v>Law on a national certificate trade for fuel emissions</v>
      </c>
      <c r="D64" s="1" t="s">
        <v>1468</v>
      </c>
      <c r="E64" s="1" t="s">
        <v>1469</v>
      </c>
      <c r="F64" s="1" t="s">
        <v>41</v>
      </c>
      <c r="G64" s="153"/>
      <c r="H64" s="153"/>
      <c r="I64" s="140" t="s">
        <v>1470</v>
      </c>
      <c r="J64" s="1" t="s">
        <v>1517</v>
      </c>
      <c r="K64" s="4" t="s">
        <v>1518</v>
      </c>
      <c r="L64" s="1" t="s">
        <v>1328</v>
      </c>
      <c r="N64" s="1" t="s">
        <v>275</v>
      </c>
    </row>
    <row r="65">
      <c r="A65" s="1">
        <v>9723.0</v>
      </c>
      <c r="B65" s="140" t="s">
        <v>1519</v>
      </c>
      <c r="C65" s="140" t="str">
        <f>IFERROR(__xludf.DUMMYFUNCTION("GOOGLETRANSLATE(B65)"),"Design of a first law to change the fuel emission trade law")</f>
        <v>Design of a first law to change the fuel emission trade law</v>
      </c>
      <c r="D65" s="1" t="s">
        <v>1468</v>
      </c>
      <c r="E65" s="1" t="s">
        <v>1469</v>
      </c>
      <c r="F65" s="1" t="s">
        <v>41</v>
      </c>
      <c r="G65" s="140"/>
      <c r="H65" s="140">
        <v>2020.0</v>
      </c>
      <c r="I65" s="140" t="s">
        <v>1470</v>
      </c>
      <c r="J65" s="1" t="s">
        <v>1520</v>
      </c>
      <c r="K65" s="4" t="s">
        <v>1521</v>
      </c>
      <c r="L65" s="1" t="s">
        <v>1328</v>
      </c>
      <c r="N65" s="1" t="s">
        <v>23</v>
      </c>
    </row>
    <row r="66">
      <c r="A66" s="1">
        <v>9723.0</v>
      </c>
      <c r="B66" s="140" t="s">
        <v>1522</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1468</v>
      </c>
      <c r="E66" s="1" t="s">
        <v>1469</v>
      </c>
      <c r="F66" s="145" t="s">
        <v>45</v>
      </c>
      <c r="G66" s="140" t="s">
        <v>45</v>
      </c>
      <c r="H66" s="140">
        <v>2020.0</v>
      </c>
      <c r="I66" s="140" t="s">
        <v>1470</v>
      </c>
      <c r="J66" s="1" t="s">
        <v>1523</v>
      </c>
      <c r="K66" s="4" t="s">
        <v>1524</v>
      </c>
      <c r="L66" s="1" t="s">
        <v>1328</v>
      </c>
      <c r="N66" s="1" t="s">
        <v>23</v>
      </c>
    </row>
    <row r="67">
      <c r="A67" s="1">
        <v>10500.0</v>
      </c>
      <c r="B67" s="140" t="s">
        <v>1525</v>
      </c>
      <c r="C67" s="140" t="str">
        <f>IFERROR(__xludf.DUMMYFUNCTION("GOOGLETRANSLATE(B67)"),"Germany’s recovery and resilience plan")</f>
        <v>Germany’s recovery and resilience plan</v>
      </c>
      <c r="D67" s="1" t="s">
        <v>1468</v>
      </c>
      <c r="E67" s="1" t="s">
        <v>1469</v>
      </c>
      <c r="F67" s="1" t="s">
        <v>234</v>
      </c>
      <c r="G67" s="140"/>
      <c r="H67" s="140">
        <v>2021.0</v>
      </c>
      <c r="I67" s="140" t="s">
        <v>24</v>
      </c>
      <c r="J67" s="1" t="s">
        <v>1526</v>
      </c>
      <c r="K67" s="4" t="s">
        <v>1527</v>
      </c>
      <c r="L67" s="1" t="s">
        <v>1328</v>
      </c>
      <c r="N67" s="1" t="s">
        <v>92</v>
      </c>
    </row>
    <row r="68">
      <c r="A68" s="1">
        <v>10500.0</v>
      </c>
      <c r="B68" s="1" t="s">
        <v>1528</v>
      </c>
      <c r="C68" s="1" t="str">
        <f>IFERROR(__xludf.DUMMYFUNCTION("GOOGLETRANSLATE(B68)"),"Recovery and resilience plan for Germany - EU Decision")</f>
        <v>Recovery and resilience plan for Germany - EU Decision</v>
      </c>
      <c r="D68" s="1" t="s">
        <v>1468</v>
      </c>
      <c r="E68" s="1" t="s">
        <v>1469</v>
      </c>
      <c r="F68" s="1" t="s">
        <v>247</v>
      </c>
      <c r="G68" s="1"/>
      <c r="H68" s="1">
        <v>2021.0</v>
      </c>
      <c r="I68" s="1" t="s">
        <v>24</v>
      </c>
      <c r="J68" s="4" t="s">
        <v>1529</v>
      </c>
      <c r="K68" s="4" t="s">
        <v>1530</v>
      </c>
      <c r="L68" s="1" t="s">
        <v>1328</v>
      </c>
      <c r="N68" s="1" t="s">
        <v>92</v>
      </c>
    </row>
    <row r="69">
      <c r="A69" s="1">
        <v>10500.0</v>
      </c>
      <c r="B69" s="140" t="s">
        <v>1531</v>
      </c>
      <c r="C69" s="140" t="str">
        <f>IFERROR(__xludf.DUMMYFUNCTION("GOOGLETRANSLATE(B69)"),"Factsheet: Germany’s recovery and resilience plan")</f>
        <v>Factsheet: Germany’s recovery and resilience plan</v>
      </c>
      <c r="D69" s="1" t="s">
        <v>1468</v>
      </c>
      <c r="E69" s="1" t="s">
        <v>1469</v>
      </c>
      <c r="F69" s="145" t="s">
        <v>1532</v>
      </c>
      <c r="G69" s="145" t="s">
        <v>234</v>
      </c>
      <c r="H69" s="151"/>
      <c r="I69" s="140" t="s">
        <v>24</v>
      </c>
      <c r="J69" s="1" t="s">
        <v>1533</v>
      </c>
      <c r="K69" s="4" t="s">
        <v>1534</v>
      </c>
      <c r="L69" s="1" t="s">
        <v>1328</v>
      </c>
      <c r="N69" s="1" t="s">
        <v>92</v>
      </c>
    </row>
    <row r="70">
      <c r="A70" s="1">
        <v>10500.0</v>
      </c>
      <c r="B70" s="140" t="s">
        <v>1535</v>
      </c>
      <c r="C70" s="140" t="str">
        <f>IFERROR(__xludf.DUMMYFUNCTION("GOOGLETRANSLATE(B70)"),"German structure and resilience plan (DARP)")</f>
        <v>German structure and resilience plan (DARP)</v>
      </c>
      <c r="D70" s="1" t="s">
        <v>1468</v>
      </c>
      <c r="E70" s="1" t="s">
        <v>1469</v>
      </c>
      <c r="F70" s="1" t="s">
        <v>234</v>
      </c>
      <c r="G70" s="140"/>
      <c r="H70" s="140">
        <v>2020.0</v>
      </c>
      <c r="I70" s="140" t="s">
        <v>24</v>
      </c>
      <c r="J70" s="1" t="s">
        <v>1536</v>
      </c>
      <c r="K70" s="4" t="s">
        <v>1537</v>
      </c>
      <c r="L70" s="1" t="s">
        <v>1328</v>
      </c>
      <c r="N70" s="1" t="s">
        <v>839</v>
      </c>
    </row>
    <row r="71">
      <c r="A71" s="1">
        <v>1262.0</v>
      </c>
      <c r="B71" s="140" t="s">
        <v>1538</v>
      </c>
      <c r="C71" s="140" t="str">
        <f>IFERROR(__xludf.DUMMYFUNCTION("GOOGLETRANSLATE(B71)"),"GHANA SHARED GROWTH AND DEVELOPMENT AGENDA (GSGDA) II")</f>
        <v>GHANA SHARED GROWTH AND DEVELOPMENT AGENDA (GSGDA) II</v>
      </c>
      <c r="D71" s="1" t="s">
        <v>1539</v>
      </c>
      <c r="E71" s="1" t="s">
        <v>1540</v>
      </c>
      <c r="F71" s="1" t="s">
        <v>1541</v>
      </c>
      <c r="G71" s="140"/>
      <c r="H71" s="140">
        <v>2015.0</v>
      </c>
      <c r="I71" s="140" t="s">
        <v>24</v>
      </c>
      <c r="J71" s="1" t="s">
        <v>1542</v>
      </c>
      <c r="K71" s="4" t="s">
        <v>1543</v>
      </c>
      <c r="L71" s="1" t="s">
        <v>1328</v>
      </c>
      <c r="N71" s="1" t="s">
        <v>37</v>
      </c>
    </row>
    <row r="72">
      <c r="A72" s="1">
        <v>1262.0</v>
      </c>
      <c r="B72" s="140" t="s">
        <v>1538</v>
      </c>
      <c r="C72" s="140" t="str">
        <f>IFERROR(__xludf.DUMMYFUNCTION("GOOGLETRANSLATE(B72)"),"GHANA SHARED GROWTH AND DEVELOPMENT AGENDA (GSGDA) II")</f>
        <v>GHANA SHARED GROWTH AND DEVELOPMENT AGENDA (GSGDA) II</v>
      </c>
      <c r="D72" s="1" t="s">
        <v>1539</v>
      </c>
      <c r="E72" s="1" t="s">
        <v>1540</v>
      </c>
      <c r="F72" s="1" t="s">
        <v>1541</v>
      </c>
      <c r="G72" s="140"/>
      <c r="H72" s="140">
        <v>2014.0</v>
      </c>
      <c r="I72" s="140" t="s">
        <v>24</v>
      </c>
      <c r="J72" s="1" t="s">
        <v>1544</v>
      </c>
      <c r="K72" s="4" t="s">
        <v>1545</v>
      </c>
      <c r="L72" s="1" t="s">
        <v>1328</v>
      </c>
      <c r="N72" s="1" t="s">
        <v>37</v>
      </c>
    </row>
    <row r="73">
      <c r="A73" s="1">
        <v>8683.0</v>
      </c>
      <c r="B73" s="140" t="s">
        <v>1546</v>
      </c>
      <c r="C73" s="140" t="str">
        <f>IFERROR(__xludf.DUMMYFUNCTION("GOOGLETRANSLATE(B73)"),"NEW SUPPORT CONSTRUCTION OF ELECTRICAL ENERGY PRODUCTION STATIONS")</f>
        <v>NEW SUPPORT CONSTRUCTION OF ELECTRICAL ENERGY PRODUCTION STATIONS</v>
      </c>
      <c r="D73" s="1" t="s">
        <v>1547</v>
      </c>
      <c r="E73" s="1" t="s">
        <v>1548</v>
      </c>
      <c r="F73" s="145" t="s">
        <v>41</v>
      </c>
      <c r="G73" s="140" t="s">
        <v>41</v>
      </c>
      <c r="H73" s="140">
        <v>2012.0</v>
      </c>
      <c r="I73" s="140" t="s">
        <v>24</v>
      </c>
      <c r="J73" s="1" t="s">
        <v>1549</v>
      </c>
      <c r="K73" s="4" t="s">
        <v>1550</v>
      </c>
      <c r="L73" s="1" t="s">
        <v>1328</v>
      </c>
      <c r="N73" s="1" t="s">
        <v>326</v>
      </c>
    </row>
    <row r="74">
      <c r="A74" s="1">
        <v>8683.0</v>
      </c>
      <c r="B74" s="140" t="s">
        <v>1551</v>
      </c>
      <c r="C74" s="140" t="str">
        <f>IFERROR(__xludf.DUMMYFUNCTION("GOOGLETRANSLATE(B74)"),"GOVERNMENT JOURNAL OF GREEK DEMOCRATION")</f>
        <v>GOVERNMENT JOURNAL OF GREEK DEMOCRATION</v>
      </c>
      <c r="D74" s="1" t="s">
        <v>1547</v>
      </c>
      <c r="E74" s="1" t="s">
        <v>1548</v>
      </c>
      <c r="F74" s="145" t="s">
        <v>41</v>
      </c>
      <c r="G74" s="140" t="s">
        <v>41</v>
      </c>
      <c r="H74" s="140">
        <v>2016.0</v>
      </c>
      <c r="I74" s="140" t="s">
        <v>1552</v>
      </c>
      <c r="J74" s="1" t="s">
        <v>1553</v>
      </c>
      <c r="K74" s="4" t="s">
        <v>1554</v>
      </c>
      <c r="L74" s="1" t="s">
        <v>1328</v>
      </c>
      <c r="N74" s="1" t="s">
        <v>23</v>
      </c>
    </row>
    <row r="75">
      <c r="A75" s="1">
        <v>8704.0</v>
      </c>
      <c r="B75" s="140" t="s">
        <v>1555</v>
      </c>
      <c r="C75" s="140" t="str">
        <f>IFERROR(__xludf.DUMMYFUNCTION("GOOGLETRANSLATE(B75)"),"NATIONAL STRATEGY FOR ACCESSIBLE CLIMATE CHANGE")</f>
        <v>NATIONAL STRATEGY FOR ACCESSIBLE CLIMATE CHANGE</v>
      </c>
      <c r="D75" s="1" t="s">
        <v>1547</v>
      </c>
      <c r="E75" s="1" t="s">
        <v>1548</v>
      </c>
      <c r="F75" s="1" t="s">
        <v>144</v>
      </c>
      <c r="G75" s="140"/>
      <c r="H75" s="140">
        <v>2016.0</v>
      </c>
      <c r="I75" s="140" t="s">
        <v>1552</v>
      </c>
      <c r="J75" s="1" t="s">
        <v>1556</v>
      </c>
      <c r="K75" s="150" t="s">
        <v>1557</v>
      </c>
      <c r="L75" s="1" t="s">
        <v>1328</v>
      </c>
      <c r="N75" s="1" t="s">
        <v>23</v>
      </c>
    </row>
    <row r="76">
      <c r="A76" s="1">
        <v>8704.0</v>
      </c>
      <c r="B76" s="140" t="s">
        <v>1558</v>
      </c>
      <c r="C76" s="140" t="str">
        <f>IFERROR(__xludf.DUMMYFUNCTION("GOOGLETRANSLATE(B76)"),"NATIONAL CLIMATE CHANGE ADAPTATION STRATEGY")</f>
        <v>NATIONAL CLIMATE CHANGE ADAPTATION STRATEGY</v>
      </c>
      <c r="D76" s="1" t="s">
        <v>1547</v>
      </c>
      <c r="E76" s="1" t="s">
        <v>1548</v>
      </c>
      <c r="F76" s="1" t="s">
        <v>144</v>
      </c>
      <c r="G76" s="140"/>
      <c r="H76" s="140">
        <v>2016.0</v>
      </c>
      <c r="I76" s="140" t="s">
        <v>24</v>
      </c>
      <c r="J76" s="1" t="s">
        <v>1559</v>
      </c>
      <c r="K76" s="4" t="s">
        <v>1560</v>
      </c>
      <c r="L76" s="1" t="s">
        <v>1328</v>
      </c>
      <c r="N76" s="1" t="s">
        <v>23</v>
      </c>
    </row>
    <row r="77">
      <c r="A77" s="1">
        <v>9439.0</v>
      </c>
      <c r="B77" s="140" t="s">
        <v>1561</v>
      </c>
      <c r="C77" s="140" t="str">
        <f>IFERROR(__xludf.DUMMYFUNCTION("GOOGLETRANSLATE(B77)"),"Law 4685/2020-Government Gazette 92/A/7-5-2020 (coded)
")</f>
        <v>Law 4685/2020-Government Gazette 92/A/7-5-2020 (coded)
</v>
      </c>
      <c r="D77" s="1" t="s">
        <v>1547</v>
      </c>
      <c r="E77" s="1" t="s">
        <v>1548</v>
      </c>
      <c r="F77" s="1" t="s">
        <v>41</v>
      </c>
      <c r="G77" s="140"/>
      <c r="H77" s="140">
        <v>2020.0</v>
      </c>
      <c r="I77" s="140" t="s">
        <v>1552</v>
      </c>
      <c r="J77" s="1" t="s">
        <v>1562</v>
      </c>
      <c r="K77" s="4" t="s">
        <v>1563</v>
      </c>
      <c r="L77" s="1" t="s">
        <v>1328</v>
      </c>
      <c r="N77" s="1" t="s">
        <v>92</v>
      </c>
    </row>
    <row r="78">
      <c r="A78" s="1">
        <v>9439.0</v>
      </c>
      <c r="B78" s="140" t="s">
        <v>1564</v>
      </c>
      <c r="C78" s="140" t="str">
        <f>IFERROR(__xludf.DUMMYFUNCTION("GOOGLETRANSLATE(B78)"),"LEGISLATION PROJECT")</f>
        <v>LEGISLATION PROJECT</v>
      </c>
      <c r="D78" s="1" t="s">
        <v>1547</v>
      </c>
      <c r="E78" s="1" t="s">
        <v>1548</v>
      </c>
      <c r="F78" s="145" t="s">
        <v>41</v>
      </c>
      <c r="G78" s="140" t="s">
        <v>41</v>
      </c>
      <c r="H78" s="140">
        <v>2020.0</v>
      </c>
      <c r="I78" s="140" t="s">
        <v>1552</v>
      </c>
      <c r="J78" s="4" t="s">
        <v>1565</v>
      </c>
      <c r="K78" s="4" t="s">
        <v>1566</v>
      </c>
      <c r="L78" s="1" t="s">
        <v>1328</v>
      </c>
      <c r="N78" s="1" t="s">
        <v>92</v>
      </c>
    </row>
    <row r="79">
      <c r="A79" s="1">
        <v>9504.0</v>
      </c>
      <c r="B79" s="140" t="s">
        <v>1567</v>
      </c>
      <c r="C79" s="140" t="str">
        <f>IFERROR(__xludf.DUMMYFUNCTION("GOOGLETRANSLATE(B79)"),"National Energy and Climate Plan")</f>
        <v>National Energy and Climate Plan</v>
      </c>
      <c r="D79" s="1" t="s">
        <v>1547</v>
      </c>
      <c r="E79" s="1" t="s">
        <v>1548</v>
      </c>
      <c r="F79" s="1" t="s">
        <v>234</v>
      </c>
      <c r="G79" s="140"/>
      <c r="H79" s="140">
        <v>2019.0</v>
      </c>
      <c r="I79" s="140" t="s">
        <v>24</v>
      </c>
      <c r="J79" s="1" t="s">
        <v>1568</v>
      </c>
      <c r="K79" s="4" t="s">
        <v>1569</v>
      </c>
      <c r="L79" s="1" t="s">
        <v>1328</v>
      </c>
      <c r="N79" s="1" t="s">
        <v>23</v>
      </c>
    </row>
    <row r="80">
      <c r="A80" s="1">
        <v>9504.0</v>
      </c>
      <c r="B80" s="1" t="s">
        <v>1567</v>
      </c>
      <c r="C80" s="1" t="str">
        <f>IFERROR(__xludf.DUMMYFUNCTION("GOOGLETRANSLATE(B80)"),"National Energy and Climate Plan")</f>
        <v>National Energy and Climate Plan</v>
      </c>
      <c r="D80" s="1" t="s">
        <v>1547</v>
      </c>
      <c r="E80" s="1" t="s">
        <v>1548</v>
      </c>
      <c r="F80" s="1" t="s">
        <v>234</v>
      </c>
      <c r="G80" s="1"/>
      <c r="H80" s="1">
        <v>2019.0</v>
      </c>
      <c r="I80" s="1" t="s">
        <v>1552</v>
      </c>
      <c r="J80" s="1" t="s">
        <v>1570</v>
      </c>
      <c r="K80" s="4" t="s">
        <v>1571</v>
      </c>
      <c r="L80" s="1" t="s">
        <v>1328</v>
      </c>
      <c r="N80" s="1" t="s">
        <v>23</v>
      </c>
    </row>
    <row r="81">
      <c r="A81" s="1">
        <v>10501.0</v>
      </c>
      <c r="B81" s="140" t="s">
        <v>1572</v>
      </c>
      <c r="C81" s="140" t="str">
        <f>IFERROR(__xludf.DUMMYFUNCTION("GOOGLETRANSLATE(B81)"),"Greece’s recovery and resilience plan")</f>
        <v>Greece’s recovery and resilience plan</v>
      </c>
      <c r="D81" s="1" t="s">
        <v>1547</v>
      </c>
      <c r="E81" s="1" t="s">
        <v>1548</v>
      </c>
      <c r="F81" s="1" t="s">
        <v>234</v>
      </c>
      <c r="G81" s="140"/>
      <c r="H81" s="140">
        <v>2021.0</v>
      </c>
      <c r="I81" s="140" t="s">
        <v>24</v>
      </c>
      <c r="J81" s="1" t="s">
        <v>1573</v>
      </c>
      <c r="K81" s="4" t="s">
        <v>1574</v>
      </c>
      <c r="L81" s="1" t="s">
        <v>1328</v>
      </c>
      <c r="N81" s="1" t="s">
        <v>92</v>
      </c>
    </row>
    <row r="82">
      <c r="A82" s="1">
        <v>10501.0</v>
      </c>
      <c r="B82" s="1" t="s">
        <v>1575</v>
      </c>
      <c r="C82" s="1" t="str">
        <f>IFERROR(__xludf.DUMMYFUNCTION("GOOGLETRANSLATE(B82)"),"Recovery and resilience plan for Greece - EU Decision")</f>
        <v>Recovery and resilience plan for Greece - EU Decision</v>
      </c>
      <c r="D82" s="1" t="s">
        <v>1547</v>
      </c>
      <c r="E82" s="1" t="s">
        <v>1548</v>
      </c>
      <c r="F82" s="1" t="s">
        <v>247</v>
      </c>
      <c r="G82" s="1"/>
      <c r="H82" s="1">
        <v>2021.0</v>
      </c>
      <c r="I82" s="1" t="s">
        <v>24</v>
      </c>
      <c r="J82" s="4" t="s">
        <v>1576</v>
      </c>
      <c r="K82" s="4" t="s">
        <v>1577</v>
      </c>
      <c r="L82" s="1" t="s">
        <v>1328</v>
      </c>
      <c r="N82" s="1" t="s">
        <v>92</v>
      </c>
    </row>
    <row r="83">
      <c r="A83" s="1">
        <v>10501.0</v>
      </c>
      <c r="B83" s="140" t="s">
        <v>1578</v>
      </c>
      <c r="C83" s="140" t="str">
        <f>IFERROR(__xludf.DUMMYFUNCTION("GOOGLETRANSLATE(B83)"),"Factsheet: Greece’s recovery and resilience plan")</f>
        <v>Factsheet: Greece’s recovery and resilience plan</v>
      </c>
      <c r="D83" s="1" t="s">
        <v>1547</v>
      </c>
      <c r="E83" s="1" t="s">
        <v>1548</v>
      </c>
      <c r="F83" s="7" t="s">
        <v>234</v>
      </c>
      <c r="G83" s="140"/>
      <c r="H83" s="140">
        <v>2021.0</v>
      </c>
      <c r="I83" s="140" t="s">
        <v>24</v>
      </c>
      <c r="J83" s="1" t="s">
        <v>1579</v>
      </c>
      <c r="K83" s="4" t="s">
        <v>1580</v>
      </c>
      <c r="L83" s="1" t="s">
        <v>1328</v>
      </c>
      <c r="N83" s="1" t="s">
        <v>92</v>
      </c>
    </row>
    <row r="84">
      <c r="A84" s="1">
        <v>10501.0</v>
      </c>
      <c r="B84" s="140" t="s">
        <v>1572</v>
      </c>
      <c r="C84" s="140" t="str">
        <f>IFERROR(__xludf.DUMMYFUNCTION("GOOGLETRANSLATE(B84)"),"Greece’s recovery and resilience plan")</f>
        <v>Greece’s recovery and resilience plan</v>
      </c>
      <c r="D84" s="1" t="s">
        <v>1547</v>
      </c>
      <c r="E84" s="1" t="s">
        <v>1548</v>
      </c>
      <c r="F84" s="1" t="s">
        <v>234</v>
      </c>
      <c r="G84" s="1"/>
      <c r="H84" s="1">
        <v>2021.0</v>
      </c>
      <c r="I84" s="140" t="s">
        <v>1552</v>
      </c>
      <c r="J84" s="1" t="s">
        <v>1581</v>
      </c>
      <c r="K84" s="4" t="s">
        <v>1582</v>
      </c>
      <c r="L84" s="1" t="s">
        <v>1328</v>
      </c>
      <c r="N84" s="1" t="s">
        <v>92</v>
      </c>
    </row>
    <row r="85">
      <c r="A85" s="1">
        <v>10501.0</v>
      </c>
      <c r="B85" s="140" t="s">
        <v>1583</v>
      </c>
      <c r="C85" s="140" t="str">
        <f>IFERROR(__xludf.DUMMYFUNCTION("GOOGLETRANSLATE(B85)"),"Greece 2.0")</f>
        <v>Greece 2.0</v>
      </c>
      <c r="D85" s="1" t="s">
        <v>1547</v>
      </c>
      <c r="E85" s="1" t="s">
        <v>1548</v>
      </c>
      <c r="F85" s="1" t="s">
        <v>234</v>
      </c>
      <c r="G85" s="140"/>
      <c r="H85" s="140">
        <v>2021.0</v>
      </c>
      <c r="I85" s="140" t="s">
        <v>1552</v>
      </c>
      <c r="J85" s="1" t="s">
        <v>1584</v>
      </c>
      <c r="K85" s="4" t="s">
        <v>1585</v>
      </c>
      <c r="L85" s="1" t="s">
        <v>1328</v>
      </c>
      <c r="N85" s="1" t="s">
        <v>326</v>
      </c>
    </row>
    <row r="86">
      <c r="A86" s="1">
        <v>10244.0</v>
      </c>
      <c r="B86" s="140" t="s">
        <v>1586</v>
      </c>
      <c r="C86" s="140" t="str">
        <f>IFERROR(__xludf.DUMMYFUNCTION("GOOGLETRANSLATE(B86)"),"National Economic and Social Development Plan 2016-2020")</f>
        <v>National Economic and Social Development Plan 2016-2020</v>
      </c>
      <c r="D86" s="1" t="s">
        <v>1587</v>
      </c>
      <c r="E86" s="1" t="s">
        <v>1588</v>
      </c>
      <c r="F86" s="1" t="s">
        <v>234</v>
      </c>
      <c r="G86" s="140"/>
      <c r="H86" s="140">
        <v>2016.0</v>
      </c>
      <c r="I86" s="140" t="s">
        <v>811</v>
      </c>
      <c r="J86" s="1" t="s">
        <v>1589</v>
      </c>
      <c r="K86" s="4" t="s">
        <v>1590</v>
      </c>
      <c r="L86" s="1" t="s">
        <v>1328</v>
      </c>
      <c r="N86" s="1" t="s">
        <v>23</v>
      </c>
    </row>
    <row r="87">
      <c r="A87" s="1">
        <v>10244.0</v>
      </c>
      <c r="B87" s="140" t="s">
        <v>1591</v>
      </c>
      <c r="C87" s="140" t="str">
        <f>IFERROR(__xludf.DUMMYFUNCTION("GOOGLETRANSLATE(B87)"),"The National Economic and Social Development Plan (PNDES) 2016-2020")</f>
        <v>The National Economic and Social Development Plan (PNDES) 2016-2020</v>
      </c>
      <c r="D87" s="1" t="s">
        <v>1587</v>
      </c>
      <c r="E87" s="1" t="s">
        <v>1588</v>
      </c>
      <c r="F87" s="1" t="s">
        <v>234</v>
      </c>
      <c r="G87" s="140"/>
      <c r="H87" s="140">
        <v>2016.0</v>
      </c>
      <c r="I87" s="140" t="s">
        <v>811</v>
      </c>
      <c r="J87" s="1" t="s">
        <v>1592</v>
      </c>
      <c r="K87" s="4" t="s">
        <v>1593</v>
      </c>
      <c r="L87" s="1" t="s">
        <v>1328</v>
      </c>
      <c r="N87" s="1" t="s">
        <v>92</v>
      </c>
    </row>
    <row r="88">
      <c r="A88" s="1">
        <v>4275.0</v>
      </c>
      <c r="B88" s="140" t="s">
        <v>1594</v>
      </c>
      <c r="C88" s="140" t="str">
        <f>IFERROR(__xludf.DUMMYFUNCTION("GOOGLETRANSLATE(B88)"),"Legislative Power Decree No. 66-2014")</f>
        <v>Legislative Power Decree No. 66-2014</v>
      </c>
      <c r="D88" s="1" t="s">
        <v>1595</v>
      </c>
      <c r="E88" s="1" t="s">
        <v>1596</v>
      </c>
      <c r="F88" s="1" t="s">
        <v>18</v>
      </c>
      <c r="G88" s="140"/>
      <c r="H88" s="140">
        <v>2013.0</v>
      </c>
      <c r="I88" s="140" t="s">
        <v>924</v>
      </c>
      <c r="J88" s="1" t="s">
        <v>1597</v>
      </c>
      <c r="K88" s="4" t="s">
        <v>1598</v>
      </c>
      <c r="L88" s="1" t="s">
        <v>1328</v>
      </c>
      <c r="N88" s="1" t="s">
        <v>23</v>
      </c>
    </row>
    <row r="89">
      <c r="A89" s="1">
        <v>4275.0</v>
      </c>
      <c r="B89" s="140" t="s">
        <v>1599</v>
      </c>
      <c r="C89" s="140" t="str">
        <f>IFERROR(__xludf.DUMMYFUNCTION("GOOGLETRANSLATE(B89)"),"Legislative Power Decree No. 297-2013")</f>
        <v>Legislative Power Decree No. 297-2013</v>
      </c>
      <c r="D89" s="1" t="s">
        <v>1595</v>
      </c>
      <c r="E89" s="1" t="s">
        <v>1596</v>
      </c>
      <c r="F89" s="1" t="s">
        <v>18</v>
      </c>
      <c r="G89" s="140"/>
      <c r="H89" s="140">
        <v>2014.0</v>
      </c>
      <c r="I89" s="140" t="s">
        <v>924</v>
      </c>
      <c r="J89" s="1" t="s">
        <v>1600</v>
      </c>
      <c r="K89" s="4" t="s">
        <v>1601</v>
      </c>
      <c r="L89" s="1" t="s">
        <v>1328</v>
      </c>
      <c r="N89" s="1" t="s">
        <v>23</v>
      </c>
    </row>
    <row r="90">
      <c r="A90" s="1">
        <v>10323.0</v>
      </c>
      <c r="B90" s="140" t="s">
        <v>1602</v>
      </c>
      <c r="C90" s="140" t="str">
        <f>IFERROR(__xludf.DUMMYFUNCTION("GOOGLETRANSLATE(B90)"),"National Forest Policy, Protected Areas and Wildlife")</f>
        <v>National Forest Policy, Protected Areas and Wildlife</v>
      </c>
      <c r="D90" s="1" t="s">
        <v>1595</v>
      </c>
      <c r="E90" s="1" t="s">
        <v>1596</v>
      </c>
      <c r="F90" s="1" t="s">
        <v>407</v>
      </c>
      <c r="G90" s="140"/>
      <c r="H90" s="140">
        <v>2013.0</v>
      </c>
      <c r="I90" s="140" t="s">
        <v>924</v>
      </c>
      <c r="J90" s="1" t="s">
        <v>1603</v>
      </c>
      <c r="K90" s="150" t="s">
        <v>1604</v>
      </c>
      <c r="L90" s="1" t="s">
        <v>1328</v>
      </c>
      <c r="N90" s="1" t="s">
        <v>23</v>
      </c>
    </row>
    <row r="91">
      <c r="A91" s="1">
        <v>10323.0</v>
      </c>
      <c r="B91" s="140" t="s">
        <v>1605</v>
      </c>
      <c r="C91" s="140" t="str">
        <f>IFERROR(__xludf.DUMMYFUNCTION("GOOGLETRANSLATE(B91)"),"National Forestry Program, Protected Areas and Wildlife Pronafor")</f>
        <v>National Forestry Program, Protected Areas and Wildlife Pronafor</v>
      </c>
      <c r="D91" s="1" t="s">
        <v>1595</v>
      </c>
      <c r="E91" s="1" t="s">
        <v>1596</v>
      </c>
      <c r="F91" s="1" t="s">
        <v>850</v>
      </c>
      <c r="G91" s="140"/>
      <c r="H91" s="140">
        <v>2009.0</v>
      </c>
      <c r="I91" s="140" t="s">
        <v>924</v>
      </c>
      <c r="J91" s="1" t="s">
        <v>1606</v>
      </c>
      <c r="K91" s="4" t="s">
        <v>1607</v>
      </c>
      <c r="L91" s="1" t="s">
        <v>1328</v>
      </c>
      <c r="N91" s="1" t="s">
        <v>23</v>
      </c>
    </row>
    <row r="92">
      <c r="A92" s="1">
        <v>1299.0</v>
      </c>
      <c r="B92" s="140" t="s">
        <v>1608</v>
      </c>
      <c r="C92" s="140" t="str">
        <f>IFERROR(__xludf.DUMMYFUNCTION("GOOGLETRANSLATE(B92)"),"National Climate Change Strategy 2008-2025")</f>
        <v>National Climate Change Strategy 2008-2025</v>
      </c>
      <c r="D92" s="1" t="s">
        <v>1609</v>
      </c>
      <c r="E92" s="1" t="s">
        <v>1610</v>
      </c>
      <c r="F92" s="1" t="s">
        <v>144</v>
      </c>
      <c r="G92" s="140"/>
      <c r="H92" s="140">
        <v>2008.0</v>
      </c>
      <c r="I92" s="140" t="s">
        <v>1611</v>
      </c>
      <c r="J92" s="1" t="s">
        <v>1612</v>
      </c>
      <c r="K92" s="4" t="s">
        <v>1613</v>
      </c>
      <c r="L92" s="1" t="s">
        <v>1328</v>
      </c>
      <c r="N92" s="1" t="s">
        <v>23</v>
      </c>
    </row>
    <row r="93">
      <c r="A93" s="1">
        <v>1299.0</v>
      </c>
      <c r="B93" s="140" t="s">
        <v>1614</v>
      </c>
      <c r="C93" s="140" t="str">
        <f>IFERROR(__xludf.DUMMYFUNCTION("GOOGLETRANSLATE(B93)"),"NATIONAL CLIMATE CHANGE STRATEGY")</f>
        <v>NATIONAL CLIMATE CHANGE STRATEGY</v>
      </c>
      <c r="D93" s="1" t="s">
        <v>1609</v>
      </c>
      <c r="E93" s="1" t="s">
        <v>1610</v>
      </c>
      <c r="F93" s="1" t="s">
        <v>144</v>
      </c>
      <c r="G93" s="140"/>
      <c r="H93" s="140">
        <v>2008.0</v>
      </c>
      <c r="I93" s="140" t="s">
        <v>24</v>
      </c>
      <c r="J93" s="1" t="s">
        <v>1615</v>
      </c>
      <c r="K93" s="4" t="s">
        <v>1616</v>
      </c>
      <c r="L93" s="1" t="s">
        <v>1328</v>
      </c>
      <c r="N93" s="1" t="s">
        <v>23</v>
      </c>
    </row>
    <row r="94">
      <c r="A94" s="1">
        <v>9505.0</v>
      </c>
      <c r="B94" s="140" t="s">
        <v>1567</v>
      </c>
      <c r="C94" s="140" t="str">
        <f>IFERROR(__xludf.DUMMYFUNCTION("GOOGLETRANSLATE(B94)"),"National Energy and Climate Plan")</f>
        <v>National Energy and Climate Plan</v>
      </c>
      <c r="D94" s="1" t="s">
        <v>1609</v>
      </c>
      <c r="E94" s="1" t="s">
        <v>1610</v>
      </c>
      <c r="F94" s="1" t="s">
        <v>234</v>
      </c>
      <c r="G94" s="1"/>
      <c r="H94" s="1">
        <v>2019.0</v>
      </c>
      <c r="I94" s="140" t="s">
        <v>24</v>
      </c>
      <c r="J94" s="1" t="s">
        <v>1617</v>
      </c>
      <c r="K94" s="4" t="s">
        <v>1618</v>
      </c>
      <c r="L94" s="1" t="s">
        <v>1328</v>
      </c>
      <c r="N94" s="1" t="s">
        <v>23</v>
      </c>
    </row>
    <row r="95">
      <c r="A95" s="1">
        <v>9505.0</v>
      </c>
      <c r="B95" s="140" t="s">
        <v>1619</v>
      </c>
      <c r="C95" s="140" t="str">
        <f>IFERROR(__xludf.DUMMYFUNCTION("GOOGLETRANSLATE(B95)"),"National energy and climate plan")</f>
        <v>National energy and climate plan</v>
      </c>
      <c r="D95" s="1" t="s">
        <v>1609</v>
      </c>
      <c r="E95" s="1" t="s">
        <v>1610</v>
      </c>
      <c r="F95" s="1" t="s">
        <v>234</v>
      </c>
      <c r="G95" s="1"/>
      <c r="H95" s="1">
        <v>2019.0</v>
      </c>
      <c r="I95" s="140" t="s">
        <v>1611</v>
      </c>
      <c r="J95" s="1" t="s">
        <v>1620</v>
      </c>
      <c r="K95" s="4" t="s">
        <v>1621</v>
      </c>
      <c r="L95" s="1" t="s">
        <v>1328</v>
      </c>
      <c r="N95" s="1" t="s">
        <v>23</v>
      </c>
    </row>
    <row r="96">
      <c r="A96" s="1">
        <v>10102.0</v>
      </c>
      <c r="B96" s="140" t="s">
        <v>1622</v>
      </c>
      <c r="C96" s="140" t="str">
        <f>IFERROR(__xludf.DUMMYFUNCTION("GOOGLETRANSLATE(B96)"),"HUNGARY’S NATIONAL HYDROGEN STRATEGY")</f>
        <v>HUNGARY’S NATIONAL HYDROGEN STRATEGY</v>
      </c>
      <c r="D96" s="1" t="s">
        <v>1609</v>
      </c>
      <c r="E96" s="1" t="s">
        <v>1610</v>
      </c>
      <c r="F96" s="1" t="s">
        <v>144</v>
      </c>
      <c r="G96" s="140"/>
      <c r="H96" s="140">
        <v>2021.0</v>
      </c>
      <c r="I96" s="140" t="s">
        <v>24</v>
      </c>
      <c r="J96" s="1" t="s">
        <v>1623</v>
      </c>
      <c r="K96" s="4" t="s">
        <v>1624</v>
      </c>
      <c r="L96" s="1" t="s">
        <v>1328</v>
      </c>
      <c r="N96" s="1" t="s">
        <v>23</v>
      </c>
    </row>
    <row r="97">
      <c r="A97" s="1">
        <v>10102.0</v>
      </c>
      <c r="B97" s="140" t="s">
        <v>1625</v>
      </c>
      <c r="C97" s="140" t="str">
        <f>IFERROR(__xludf.DUMMYFUNCTION("GOOGLETRANSLATE(B97)"),"Hungary's National Hydrogen Strategy")</f>
        <v>Hungary's National Hydrogen Strategy</v>
      </c>
      <c r="D97" s="1" t="s">
        <v>1609</v>
      </c>
      <c r="E97" s="1" t="s">
        <v>1610</v>
      </c>
      <c r="F97" s="1" t="s">
        <v>144</v>
      </c>
      <c r="G97" s="140"/>
      <c r="H97" s="140">
        <v>2021.0</v>
      </c>
      <c r="I97" s="140" t="s">
        <v>1611</v>
      </c>
      <c r="J97" s="1" t="s">
        <v>1626</v>
      </c>
      <c r="K97" s="4" t="s">
        <v>1627</v>
      </c>
      <c r="L97" s="1" t="s">
        <v>1328</v>
      </c>
      <c r="N97" s="1" t="s">
        <v>37</v>
      </c>
    </row>
    <row r="98">
      <c r="A98" s="1">
        <v>10502.0</v>
      </c>
      <c r="B98" s="140" t="s">
        <v>1628</v>
      </c>
      <c r="C98" s="140" t="str">
        <f>IFERROR(__xludf.DUMMYFUNCTION("GOOGLETRANSLATE(B98)"),"Hungary’s recovery and resilience plan")</f>
        <v>Hungary’s recovery and resilience plan</v>
      </c>
      <c r="D98" s="1" t="s">
        <v>1609</v>
      </c>
      <c r="E98" s="1" t="s">
        <v>1610</v>
      </c>
      <c r="F98" s="1" t="s">
        <v>234</v>
      </c>
      <c r="G98" s="1"/>
      <c r="H98" s="1">
        <v>2021.0</v>
      </c>
      <c r="I98" s="140" t="s">
        <v>24</v>
      </c>
      <c r="J98" s="1" t="s">
        <v>1629</v>
      </c>
      <c r="K98" s="4" t="s">
        <v>1630</v>
      </c>
      <c r="L98" s="1" t="s">
        <v>1328</v>
      </c>
      <c r="N98" s="1" t="s">
        <v>37</v>
      </c>
    </row>
    <row r="99">
      <c r="A99" s="1">
        <v>10502.0</v>
      </c>
      <c r="B99" s="140" t="s">
        <v>1631</v>
      </c>
      <c r="C99" s="140" t="str">
        <f>IFERROR(__xludf.DUMMYFUNCTION("GOOGLETRANSLATE(B99)"),"Hungary's recovery and resistance plan")</f>
        <v>Hungary's recovery and resistance plan</v>
      </c>
      <c r="D99" s="1" t="s">
        <v>1609</v>
      </c>
      <c r="E99" s="1" t="s">
        <v>1610</v>
      </c>
      <c r="F99" s="1" t="s">
        <v>234</v>
      </c>
      <c r="G99" s="1"/>
      <c r="H99" s="1">
        <v>2021.0</v>
      </c>
      <c r="I99" s="140" t="s">
        <v>1611</v>
      </c>
      <c r="J99" s="1" t="s">
        <v>1632</v>
      </c>
      <c r="K99" s="4" t="s">
        <v>1633</v>
      </c>
      <c r="L99" s="1" t="s">
        <v>1328</v>
      </c>
      <c r="N99" s="1" t="s">
        <v>23</v>
      </c>
    </row>
    <row r="100">
      <c r="A100" s="1">
        <v>4282.0</v>
      </c>
      <c r="B100" s="140" t="s">
        <v>1634</v>
      </c>
      <c r="C100" s="140" t="str">
        <f>IFERROR(__xludf.DUMMYFUNCTION("GOOGLETRANSLATE(B100)"),"Regulation on operators' emission allowance in the EU's transaction system with allowances.")</f>
        <v>Regulation on operators' emission allowance in the EU's transaction system with allowances.</v>
      </c>
      <c r="D100" s="1" t="s">
        <v>1635</v>
      </c>
      <c r="E100" s="1" t="s">
        <v>1636</v>
      </c>
      <c r="F100" s="1" t="s">
        <v>34</v>
      </c>
      <c r="G100" s="140"/>
      <c r="H100" s="140">
        <v>2013.0</v>
      </c>
      <c r="I100" s="140" t="s">
        <v>1637</v>
      </c>
      <c r="J100" s="1" t="s">
        <v>1638</v>
      </c>
      <c r="K100" s="4" t="s">
        <v>1639</v>
      </c>
      <c r="L100" s="1" t="s">
        <v>1328</v>
      </c>
      <c r="N100" s="1" t="s">
        <v>23</v>
      </c>
    </row>
    <row r="101">
      <c r="A101" s="1">
        <v>4282.0</v>
      </c>
      <c r="B101" s="140" t="s">
        <v>1640</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1635</v>
      </c>
      <c r="E101" s="1" t="s">
        <v>1636</v>
      </c>
      <c r="F101" s="1" t="s">
        <v>34</v>
      </c>
      <c r="G101" s="140"/>
      <c r="H101" s="140">
        <v>2013.0</v>
      </c>
      <c r="I101" s="140" t="s">
        <v>1637</v>
      </c>
      <c r="J101" s="1" t="s">
        <v>1641</v>
      </c>
      <c r="K101" s="4" t="s">
        <v>1642</v>
      </c>
      <c r="L101" s="1" t="s">
        <v>1328</v>
      </c>
      <c r="N101" s="1" t="s">
        <v>23</v>
      </c>
    </row>
    <row r="102">
      <c r="A102" s="1">
        <v>9416.0</v>
      </c>
      <c r="B102" s="140" t="s">
        <v>1643</v>
      </c>
      <c r="C102" s="140" t="str">
        <f>IFERROR(__xludf.DUMMYFUNCTION("GOOGLETRANSLATE(B102)"),"Iceland’s Climate Action Plan for 2018-2030")</f>
        <v>Iceland’s Climate Action Plan for 2018-2030</v>
      </c>
      <c r="D102" s="1" t="s">
        <v>1635</v>
      </c>
      <c r="E102" s="1" t="s">
        <v>1636</v>
      </c>
      <c r="F102" s="1" t="s">
        <v>234</v>
      </c>
      <c r="G102" s="140"/>
      <c r="H102" s="140">
        <v>2018.0</v>
      </c>
      <c r="I102" s="140" t="s">
        <v>24</v>
      </c>
      <c r="J102" s="4" t="s">
        <v>1644</v>
      </c>
      <c r="K102" s="4" t="s">
        <v>1645</v>
      </c>
      <c r="L102" s="1" t="s">
        <v>1328</v>
      </c>
      <c r="N102" s="1" t="s">
        <v>23</v>
      </c>
    </row>
    <row r="103">
      <c r="A103" s="1">
        <v>9416.0</v>
      </c>
      <c r="B103" s="140" t="s">
        <v>1646</v>
      </c>
      <c r="C103" s="140" t="str">
        <f>IFERROR(__xludf.DUMMYFUNCTION("GOOGLETRANSLATE(B103)"),"Iceland’s 2020 Climate Action Plan")</f>
        <v>Iceland’s 2020 Climate Action Plan</v>
      </c>
      <c r="D103" s="1" t="s">
        <v>1635</v>
      </c>
      <c r="E103" s="1" t="s">
        <v>1636</v>
      </c>
      <c r="F103" s="1" t="s">
        <v>234</v>
      </c>
      <c r="G103" s="140"/>
      <c r="H103" s="140">
        <v>2020.0</v>
      </c>
      <c r="I103" s="140" t="s">
        <v>24</v>
      </c>
      <c r="J103" s="1" t="s">
        <v>1647</v>
      </c>
      <c r="K103" s="4" t="s">
        <v>1648</v>
      </c>
      <c r="L103" s="1" t="s">
        <v>1328</v>
      </c>
      <c r="N103" s="1" t="s">
        <v>23</v>
      </c>
    </row>
    <row r="104">
      <c r="A104" s="1">
        <v>1317.0</v>
      </c>
      <c r="B104" s="140" t="s">
        <v>1649</v>
      </c>
      <c r="C104" s="140" t="str">
        <f>IFERROR(__xludf.DUMMYFUNCTION("GOOGLETRANSLATE(B104)"),"Draft National Electricity Plan Volume I")</f>
        <v>Draft National Electricity Plan Volume I</v>
      </c>
      <c r="D104" s="1" t="s">
        <v>1650</v>
      </c>
      <c r="E104" s="1" t="s">
        <v>1651</v>
      </c>
      <c r="F104" s="1" t="s">
        <v>234</v>
      </c>
      <c r="G104" s="140"/>
      <c r="H104" s="140">
        <v>2016.0</v>
      </c>
      <c r="I104" s="140" t="s">
        <v>24</v>
      </c>
      <c r="J104" s="1" t="s">
        <v>1652</v>
      </c>
      <c r="K104" s="4" t="s">
        <v>1653</v>
      </c>
      <c r="L104" s="1" t="s">
        <v>1328</v>
      </c>
      <c r="N104" s="1" t="s">
        <v>23</v>
      </c>
    </row>
    <row r="105">
      <c r="A105" s="1">
        <v>1317.0</v>
      </c>
      <c r="B105" s="140" t="s">
        <v>1654</v>
      </c>
      <c r="C105" s="140" t="str">
        <f>IFERROR(__xludf.DUMMYFUNCTION("GOOGLETRANSLATE(B105)"),"National Electricity Plan Volume I")</f>
        <v>National Electricity Plan Volume I</v>
      </c>
      <c r="D105" s="1" t="s">
        <v>1650</v>
      </c>
      <c r="E105" s="1" t="s">
        <v>1651</v>
      </c>
      <c r="F105" s="1" t="s">
        <v>234</v>
      </c>
      <c r="G105" s="140"/>
      <c r="H105" s="140">
        <v>2012.0</v>
      </c>
      <c r="I105" s="140" t="s">
        <v>24</v>
      </c>
      <c r="J105" s="1" t="s">
        <v>1655</v>
      </c>
      <c r="K105" s="4" t="s">
        <v>1656</v>
      </c>
      <c r="L105" s="1" t="s">
        <v>1328</v>
      </c>
      <c r="N105" s="1" t="s">
        <v>23</v>
      </c>
    </row>
    <row r="106">
      <c r="A106" s="1">
        <v>1318.0</v>
      </c>
      <c r="B106" s="140" t="s">
        <v>1657</v>
      </c>
      <c r="C106" s="140" t="str">
        <f>IFERROR(__xludf.DUMMYFUNCTION("GOOGLETRANSLATE(B106)"),"Clean Energy Cess Rules, 2010.")</f>
        <v>Clean Energy Cess Rules, 2010.</v>
      </c>
      <c r="D106" s="1" t="s">
        <v>1650</v>
      </c>
      <c r="E106" s="1" t="s">
        <v>1651</v>
      </c>
      <c r="F106" s="1" t="s">
        <v>372</v>
      </c>
      <c r="G106" s="140"/>
      <c r="H106" s="140">
        <v>2010.0</v>
      </c>
      <c r="I106" s="140" t="s">
        <v>24</v>
      </c>
      <c r="J106" s="1" t="s">
        <v>1658</v>
      </c>
      <c r="K106" s="4" t="s">
        <v>1659</v>
      </c>
      <c r="L106" s="1" t="s">
        <v>1328</v>
      </c>
      <c r="N106" s="1" t="s">
        <v>23</v>
      </c>
    </row>
    <row r="107">
      <c r="A107" s="1">
        <v>1318.0</v>
      </c>
      <c r="B107" s="140" t="s">
        <v>1660</v>
      </c>
      <c r="C107" s="140" t="str">
        <f>IFERROR(__xludf.DUMMYFUNCTION("GOOGLETRANSLATE(B107)"),"THE FINANCE BILL, 2010")</f>
        <v>THE FINANCE BILL, 2010</v>
      </c>
      <c r="D107" s="1" t="s">
        <v>1650</v>
      </c>
      <c r="E107" s="1" t="s">
        <v>1651</v>
      </c>
      <c r="F107" s="1" t="s">
        <v>41</v>
      </c>
      <c r="G107" s="140"/>
      <c r="H107" s="140">
        <v>2010.0</v>
      </c>
      <c r="I107" s="140" t="s">
        <v>24</v>
      </c>
      <c r="J107" s="1" t="s">
        <v>1661</v>
      </c>
      <c r="K107" s="4" t="s">
        <v>1662</v>
      </c>
      <c r="L107" s="1" t="s">
        <v>1328</v>
      </c>
      <c r="N107" s="1" t="s">
        <v>23</v>
      </c>
    </row>
    <row r="108">
      <c r="A108" s="1">
        <v>1318.0</v>
      </c>
      <c r="B108" s="140" t="s">
        <v>1657</v>
      </c>
      <c r="C108" s="140" t="str">
        <f>IFERROR(__xludf.DUMMYFUNCTION("GOOGLETRANSLATE(B108)"),"Clean Energy Cess Rules, 2010.")</f>
        <v>Clean Energy Cess Rules, 2010.</v>
      </c>
      <c r="D108" s="1" t="s">
        <v>1650</v>
      </c>
      <c r="E108" s="1" t="s">
        <v>1651</v>
      </c>
      <c r="F108" s="1" t="s">
        <v>372</v>
      </c>
      <c r="G108" s="140"/>
      <c r="H108" s="140">
        <v>2010.0</v>
      </c>
      <c r="I108" s="140" t="s">
        <v>24</v>
      </c>
      <c r="J108" s="1" t="s">
        <v>1663</v>
      </c>
      <c r="K108" s="4" t="s">
        <v>1664</v>
      </c>
      <c r="L108" s="1" t="s">
        <v>1328</v>
      </c>
      <c r="N108" s="1" t="s">
        <v>23</v>
      </c>
    </row>
    <row r="109">
      <c r="A109" s="1">
        <v>1322.0</v>
      </c>
      <c r="B109" s="140" t="s">
        <v>1665</v>
      </c>
      <c r="C109" s="140" t="str">
        <f>IFERROR(__xludf.DUMMYFUNCTION("GOOGLETRANSLATE(B109)"),"Integrated Energy Policy")</f>
        <v>Integrated Energy Policy</v>
      </c>
      <c r="D109" s="1" t="s">
        <v>1650</v>
      </c>
      <c r="E109" s="1" t="s">
        <v>1651</v>
      </c>
      <c r="F109" s="1" t="s">
        <v>407</v>
      </c>
      <c r="G109" s="140"/>
      <c r="H109" s="140">
        <v>2006.0</v>
      </c>
      <c r="I109" s="140" t="s">
        <v>24</v>
      </c>
      <c r="J109" s="1" t="s">
        <v>1666</v>
      </c>
      <c r="K109" s="4" t="s">
        <v>1667</v>
      </c>
      <c r="L109" s="1" t="s">
        <v>1328</v>
      </c>
      <c r="N109" s="1" t="s">
        <v>37</v>
      </c>
    </row>
    <row r="110">
      <c r="A110" s="1">
        <v>1322.0</v>
      </c>
      <c r="B110" s="140" t="s">
        <v>1668</v>
      </c>
      <c r="C110" s="140" t="str">
        <f>IFERROR(__xludf.DUMMYFUNCTION("GOOGLETRANSLATE(B110)"),"Draft National Energy Policy")</f>
        <v>Draft National Energy Policy</v>
      </c>
      <c r="D110" s="1" t="s">
        <v>1650</v>
      </c>
      <c r="E110" s="1" t="s">
        <v>1651</v>
      </c>
      <c r="F110" s="1" t="s">
        <v>407</v>
      </c>
      <c r="G110" s="140"/>
      <c r="H110" s="140">
        <v>2017.0</v>
      </c>
      <c r="I110" s="140" t="s">
        <v>24</v>
      </c>
      <c r="J110" s="1" t="s">
        <v>1669</v>
      </c>
      <c r="K110" s="4" t="s">
        <v>1670</v>
      </c>
      <c r="L110" s="1" t="s">
        <v>1328</v>
      </c>
      <c r="N110" s="1" t="s">
        <v>23</v>
      </c>
    </row>
    <row r="111">
      <c r="A111" s="1">
        <v>1323.0</v>
      </c>
      <c r="B111" s="140" t="s">
        <v>1671</v>
      </c>
      <c r="C111" s="140" t="str">
        <f>IFERROR(__xludf.DUMMYFUNCTION("GOOGLETRANSLATE(B111)"),"TARIFF POLICY")</f>
        <v>TARIFF POLICY</v>
      </c>
      <c r="D111" s="1" t="s">
        <v>1650</v>
      </c>
      <c r="E111" s="1" t="s">
        <v>1651</v>
      </c>
      <c r="F111" s="1" t="s">
        <v>407</v>
      </c>
      <c r="G111" s="140"/>
      <c r="H111" s="140">
        <v>2006.0</v>
      </c>
      <c r="I111" s="140" t="s">
        <v>24</v>
      </c>
      <c r="J111" s="1" t="s">
        <v>1672</v>
      </c>
      <c r="K111" s="4" t="s">
        <v>1673</v>
      </c>
      <c r="L111" s="1" t="s">
        <v>1328</v>
      </c>
      <c r="N111" s="1" t="s">
        <v>23</v>
      </c>
    </row>
    <row r="112">
      <c r="A112" s="1">
        <v>1323.0</v>
      </c>
      <c r="B112" s="1" t="s">
        <v>1674</v>
      </c>
      <c r="C112" s="1" t="str">
        <f>IFERROR(__xludf.DUMMYFUNCTION("GOOGLETRANSLATE(B112)"),"Tariff Policy under the Electricity Act 2003")</f>
        <v>Tariff Policy under the Electricity Act 2003</v>
      </c>
      <c r="D112" s="1" t="s">
        <v>1650</v>
      </c>
      <c r="E112" s="1" t="s">
        <v>1651</v>
      </c>
      <c r="F112" s="1" t="s">
        <v>407</v>
      </c>
      <c r="G112" s="1"/>
      <c r="H112" s="1">
        <v>2006.0</v>
      </c>
      <c r="I112" s="140" t="s">
        <v>24</v>
      </c>
      <c r="J112" s="1" t="s">
        <v>1675</v>
      </c>
      <c r="K112" s="4" t="s">
        <v>1676</v>
      </c>
      <c r="L112" s="1" t="s">
        <v>1328</v>
      </c>
      <c r="N112" s="1" t="s">
        <v>23</v>
      </c>
    </row>
    <row r="113">
      <c r="A113" s="1">
        <v>1323.0</v>
      </c>
      <c r="B113" s="1" t="s">
        <v>1677</v>
      </c>
      <c r="C113" s="1" t="str">
        <f>IFERROR(__xludf.DUMMYFUNCTION("GOOGLETRANSLATE(B113)"),"Tariff Policy")</f>
        <v>Tariff Policy</v>
      </c>
      <c r="D113" s="1" t="s">
        <v>1650</v>
      </c>
      <c r="E113" s="1" t="s">
        <v>1651</v>
      </c>
      <c r="F113" s="1" t="s">
        <v>407</v>
      </c>
      <c r="G113" s="1"/>
      <c r="H113" s="1">
        <v>2016.0</v>
      </c>
      <c r="I113" s="1" t="s">
        <v>1678</v>
      </c>
      <c r="J113" s="1" t="s">
        <v>1679</v>
      </c>
      <c r="K113" s="4" t="s">
        <v>1680</v>
      </c>
      <c r="L113" s="1" t="s">
        <v>1328</v>
      </c>
      <c r="N113" s="1" t="s">
        <v>23</v>
      </c>
    </row>
    <row r="114">
      <c r="A114" s="1">
        <v>1325.0</v>
      </c>
      <c r="B114" s="140" t="s">
        <v>1681</v>
      </c>
      <c r="C114" s="140" t="str">
        <f>IFERROR(__xludf.DUMMYFUNCTION("GOOGLETRANSLATE(B114)"),"THE ELECTRICITY ACT, 2003")</f>
        <v>THE ELECTRICITY ACT, 2003</v>
      </c>
      <c r="D114" s="1" t="s">
        <v>1650</v>
      </c>
      <c r="E114" s="1" t="s">
        <v>1651</v>
      </c>
      <c r="F114" s="1" t="s">
        <v>45</v>
      </c>
      <c r="G114" s="140"/>
      <c r="H114" s="140">
        <v>2003.0</v>
      </c>
      <c r="I114" s="140" t="s">
        <v>24</v>
      </c>
      <c r="J114" s="1" t="s">
        <v>1682</v>
      </c>
      <c r="K114" s="4" t="s">
        <v>1683</v>
      </c>
      <c r="L114" s="1" t="s">
        <v>1328</v>
      </c>
      <c r="N114" s="1" t="s">
        <v>23</v>
      </c>
    </row>
    <row r="115">
      <c r="A115" s="1">
        <v>1325.0</v>
      </c>
      <c r="B115" s="140" t="s">
        <v>1684</v>
      </c>
      <c r="C115" s="140" t="str">
        <f>IFERROR(__xludf.DUMMYFUNCTION("GOOGLETRANSLATE(B115)"),"THE ELECTRICITY (AMENDMENT) ACT, 2007")</f>
        <v>THE ELECTRICITY (AMENDMENT) ACT, 2007</v>
      </c>
      <c r="D115" s="1" t="s">
        <v>1650</v>
      </c>
      <c r="E115" s="1" t="s">
        <v>1651</v>
      </c>
      <c r="F115" s="1" t="s">
        <v>45</v>
      </c>
      <c r="G115" s="140"/>
      <c r="H115" s="140">
        <v>2007.0</v>
      </c>
      <c r="I115" s="140" t="s">
        <v>24</v>
      </c>
      <c r="J115" s="1" t="s">
        <v>1685</v>
      </c>
      <c r="K115" s="4" t="s">
        <v>1686</v>
      </c>
      <c r="L115" s="1" t="s">
        <v>1328</v>
      </c>
      <c r="N115" s="1" t="s">
        <v>37</v>
      </c>
    </row>
    <row r="116">
      <c r="A116" s="1">
        <v>1325.0</v>
      </c>
      <c r="B116" s="140" t="s">
        <v>1687</v>
      </c>
      <c r="C116" s="140" t="str">
        <f>IFERROR(__xludf.DUMMYFUNCTION("GOOGLETRANSLATE(B116)"),"THE GAZETTE OF INDIA : NOTIFICATION")</f>
        <v>THE GAZETTE OF INDIA : NOTIFICATION</v>
      </c>
      <c r="D116" s="1" t="s">
        <v>1650</v>
      </c>
      <c r="E116" s="1" t="s">
        <v>1651</v>
      </c>
      <c r="F116" s="145" t="s">
        <v>41</v>
      </c>
      <c r="G116" s="140" t="s">
        <v>41</v>
      </c>
      <c r="H116" s="140">
        <v>2010.0</v>
      </c>
      <c r="I116" s="140" t="s">
        <v>24</v>
      </c>
      <c r="J116" s="1" t="s">
        <v>1688</v>
      </c>
      <c r="K116" s="4" t="s">
        <v>1689</v>
      </c>
      <c r="L116" s="1" t="s">
        <v>1328</v>
      </c>
      <c r="N116" s="1" t="s">
        <v>37</v>
      </c>
    </row>
    <row r="117">
      <c r="A117" s="1">
        <v>1327.0</v>
      </c>
      <c r="B117" s="140" t="s">
        <v>1690</v>
      </c>
      <c r="C117" s="140" t="str">
        <f>IFERROR(__xludf.DUMMYFUNCTION("GOOGLETRANSLATE(B117)"),"THE ENERGY CONSERVATION (AMENDMENT) ACT, 2010")</f>
        <v>THE ENERGY CONSERVATION (AMENDMENT) ACT, 2010</v>
      </c>
      <c r="D117" s="1" t="s">
        <v>1650</v>
      </c>
      <c r="E117" s="1" t="s">
        <v>1651</v>
      </c>
      <c r="F117" s="145" t="s">
        <v>45</v>
      </c>
      <c r="G117" s="140"/>
      <c r="H117" s="140">
        <v>2010.0</v>
      </c>
      <c r="I117" s="140" t="s">
        <v>24</v>
      </c>
      <c r="J117" s="1" t="s">
        <v>1691</v>
      </c>
      <c r="K117" s="4" t="s">
        <v>1692</v>
      </c>
      <c r="L117" s="1" t="s">
        <v>1328</v>
      </c>
      <c r="N117" s="1" t="s">
        <v>37</v>
      </c>
    </row>
    <row r="118">
      <c r="A118" s="1">
        <v>1327.0</v>
      </c>
      <c r="B118" s="140" t="s">
        <v>1693</v>
      </c>
      <c r="C118" s="140" t="str">
        <f>IFERROR(__xludf.DUMMYFUNCTION("GOOGLETRANSLATE(B118)"),"THE ENERGY CONSERVATION (AMENDMENT) BILL, 2010")</f>
        <v>THE ENERGY CONSERVATION (AMENDMENT) BILL, 2010</v>
      </c>
      <c r="D118" s="1" t="s">
        <v>1650</v>
      </c>
      <c r="E118" s="1" t="s">
        <v>1651</v>
      </c>
      <c r="F118" s="145" t="s">
        <v>41</v>
      </c>
      <c r="G118" s="140" t="s">
        <v>41</v>
      </c>
      <c r="H118" s="140">
        <v>2010.0</v>
      </c>
      <c r="I118" s="140" t="s">
        <v>24</v>
      </c>
      <c r="J118" s="1" t="s">
        <v>1694</v>
      </c>
      <c r="K118" s="4" t="s">
        <v>1695</v>
      </c>
      <c r="L118" s="1" t="s">
        <v>1328</v>
      </c>
      <c r="N118" s="1" t="s">
        <v>23</v>
      </c>
    </row>
    <row r="119">
      <c r="A119" s="146">
        <v>9217.0</v>
      </c>
      <c r="B119" s="147"/>
      <c r="C119" s="146" t="str">
        <f>IFERROR(__xludf.DUMMYFUNCTION("GOOGLETRANSLATE(B119)"),"#VALUE!")</f>
        <v>#VALUE!</v>
      </c>
      <c r="D119" s="146" t="s">
        <v>1650</v>
      </c>
      <c r="E119" s="146" t="s">
        <v>1651</v>
      </c>
      <c r="F119" s="147"/>
      <c r="G119" s="147"/>
      <c r="H119" s="147"/>
      <c r="I119" s="147"/>
      <c r="J119" s="146" t="s">
        <v>1696</v>
      </c>
      <c r="K119" s="152" t="s">
        <v>1697</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1698</v>
      </c>
      <c r="C120" s="140" t="str">
        <f>IFERROR(__xludf.DUMMYFUNCTION("GOOGLETRANSLATE(B120)"),"Key Highlights of Union Budget 2019-20")</f>
        <v>Key Highlights of Union Budget 2019-20</v>
      </c>
      <c r="D120" s="1" t="s">
        <v>1650</v>
      </c>
      <c r="E120" s="1" t="s">
        <v>1651</v>
      </c>
      <c r="F120" s="145" t="s">
        <v>41</v>
      </c>
      <c r="G120" s="140" t="s">
        <v>45</v>
      </c>
      <c r="H120" s="140">
        <v>2019.0</v>
      </c>
      <c r="I120" s="140" t="s">
        <v>24</v>
      </c>
      <c r="J120" s="1" t="s">
        <v>1699</v>
      </c>
      <c r="K120" s="4" t="s">
        <v>1700</v>
      </c>
      <c r="L120" s="1" t="s">
        <v>1328</v>
      </c>
      <c r="N120" s="1" t="s">
        <v>23</v>
      </c>
    </row>
    <row r="121">
      <c r="A121" s="146">
        <v>9489.0</v>
      </c>
      <c r="B121" s="147"/>
      <c r="C121" s="146" t="str">
        <f>IFERROR(__xludf.DUMMYFUNCTION("GOOGLETRANSLATE(B121)"),"#VALUE!")</f>
        <v>#VALUE!</v>
      </c>
      <c r="D121" s="146" t="s">
        <v>1650</v>
      </c>
      <c r="E121" s="146" t="s">
        <v>1651</v>
      </c>
      <c r="F121" s="147"/>
      <c r="G121" s="147"/>
      <c r="H121" s="147"/>
      <c r="I121" s="147"/>
      <c r="J121" s="146" t="s">
        <v>1701</v>
      </c>
      <c r="K121" s="152" t="s">
        <v>1702</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1703</v>
      </c>
      <c r="C122" s="140" t="str">
        <f>IFERROR(__xludf.DUMMYFUNCTION("GOOGLETRANSLATE(B122)"),"THE COMPENSATORY AFFORESTATION FUND ACT, 2016")</f>
        <v>THE COMPENSATORY AFFORESTATION FUND ACT, 2016</v>
      </c>
      <c r="D122" s="1" t="s">
        <v>1650</v>
      </c>
      <c r="E122" s="1" t="s">
        <v>1651</v>
      </c>
      <c r="F122" s="1" t="s">
        <v>45</v>
      </c>
      <c r="G122" s="140"/>
      <c r="H122" s="140">
        <v>2016.0</v>
      </c>
      <c r="I122" s="140" t="s">
        <v>24</v>
      </c>
      <c r="J122" s="1" t="s">
        <v>1704</v>
      </c>
      <c r="K122" s="4" t="s">
        <v>1705</v>
      </c>
      <c r="L122" s="1" t="s">
        <v>1328</v>
      </c>
      <c r="N122" s="1" t="s">
        <v>23</v>
      </c>
    </row>
    <row r="123">
      <c r="A123" s="1">
        <v>10146.0</v>
      </c>
      <c r="B123" s="140" t="s">
        <v>1706</v>
      </c>
      <c r="C123" s="140" t="str">
        <f>IFERROR(__xludf.DUMMYFUNCTION("GOOGLETRANSLATE(B123)"),"Components of PM-KUSUM Scheme")</f>
        <v>Components of PM-KUSUM Scheme</v>
      </c>
      <c r="D123" s="1" t="s">
        <v>1650</v>
      </c>
      <c r="E123" s="1" t="s">
        <v>1651</v>
      </c>
      <c r="F123" s="145" t="s">
        <v>850</v>
      </c>
      <c r="G123" s="145" t="s">
        <v>850</v>
      </c>
      <c r="H123" s="151"/>
      <c r="I123" s="140" t="s">
        <v>24</v>
      </c>
      <c r="J123" s="1" t="s">
        <v>1707</v>
      </c>
      <c r="K123" s="4" t="s">
        <v>1708</v>
      </c>
      <c r="L123" s="1" t="s">
        <v>1328</v>
      </c>
      <c r="N123" s="1" t="s">
        <v>92</v>
      </c>
    </row>
    <row r="124">
      <c r="A124" s="1">
        <v>10146.0</v>
      </c>
      <c r="B124" s="140" t="s">
        <v>1709</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1650</v>
      </c>
      <c r="E124" s="1" t="s">
        <v>1651</v>
      </c>
      <c r="F124" s="145" t="s">
        <v>850</v>
      </c>
      <c r="G124" s="145" t="s">
        <v>850</v>
      </c>
      <c r="H124" s="151"/>
      <c r="I124" s="140" t="s">
        <v>24</v>
      </c>
      <c r="J124" s="4" t="s">
        <v>1710</v>
      </c>
      <c r="K124" s="4" t="s">
        <v>1711</v>
      </c>
      <c r="L124" s="1" t="s">
        <v>1328</v>
      </c>
      <c r="N124" s="1" t="s">
        <v>37</v>
      </c>
    </row>
    <row r="125">
      <c r="A125" s="1">
        <v>1328.0</v>
      </c>
      <c r="B125" s="140" t="s">
        <v>1712</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1713</v>
      </c>
      <c r="K125" s="4" t="s">
        <v>1714</v>
      </c>
      <c r="L125" s="1" t="s">
        <v>1328</v>
      </c>
      <c r="N125" s="1" t="s">
        <v>23</v>
      </c>
    </row>
    <row r="126">
      <c r="A126" s="1">
        <v>1328.0</v>
      </c>
      <c r="B126" s="140" t="s">
        <v>1715</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1716</v>
      </c>
      <c r="K126" s="4" t="s">
        <v>1717</v>
      </c>
      <c r="L126" s="1" t="s">
        <v>1328</v>
      </c>
      <c r="N126" s="1" t="s">
        <v>23</v>
      </c>
    </row>
    <row r="127">
      <c r="A127" s="1">
        <v>1328.0</v>
      </c>
      <c r="B127" s="140" t="s">
        <v>1718</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1719</v>
      </c>
      <c r="K127" s="4" t="s">
        <v>1720</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1721</v>
      </c>
      <c r="C2" s="155" t="s">
        <v>432</v>
      </c>
      <c r="D2" s="155" t="s">
        <v>1324</v>
      </c>
      <c r="E2" s="155" t="s">
        <v>1325</v>
      </c>
      <c r="F2" s="113"/>
      <c r="G2" s="155" t="s">
        <v>441</v>
      </c>
      <c r="H2" s="155" t="s">
        <v>573</v>
      </c>
      <c r="I2" s="155" t="s">
        <v>407</v>
      </c>
      <c r="J2" s="113"/>
      <c r="K2" s="155" t="s">
        <v>476</v>
      </c>
      <c r="L2" s="155" t="s">
        <v>476</v>
      </c>
      <c r="M2" s="155" t="s">
        <v>1722</v>
      </c>
      <c r="N2" s="155"/>
      <c r="O2" s="155"/>
      <c r="P2" s="155" t="s">
        <v>1723</v>
      </c>
      <c r="Q2" s="113"/>
      <c r="R2" s="113"/>
      <c r="S2" s="113"/>
      <c r="T2" s="113"/>
      <c r="U2" s="113"/>
      <c r="V2" s="113"/>
      <c r="W2" s="113"/>
      <c r="X2" s="113"/>
      <c r="Y2" s="113"/>
      <c r="Z2" s="113"/>
      <c r="AA2" s="113"/>
      <c r="AB2" s="113"/>
    </row>
    <row r="3">
      <c r="A3" s="28">
        <v>8588.0</v>
      </c>
      <c r="B3" s="29" t="s">
        <v>1724</v>
      </c>
      <c r="C3" s="29" t="s">
        <v>449</v>
      </c>
      <c r="D3" s="29" t="s">
        <v>1324</v>
      </c>
      <c r="E3" s="29" t="s">
        <v>1325</v>
      </c>
      <c r="F3" s="30"/>
      <c r="G3" s="29" t="s">
        <v>441</v>
      </c>
      <c r="H3" s="29" t="s">
        <v>1725</v>
      </c>
      <c r="I3" s="29" t="s">
        <v>41</v>
      </c>
      <c r="J3" s="30"/>
      <c r="K3" s="29" t="s">
        <v>1726</v>
      </c>
      <c r="L3" s="29" t="s">
        <v>1727</v>
      </c>
      <c r="M3" s="29" t="s">
        <v>1728</v>
      </c>
      <c r="N3" s="29"/>
      <c r="O3" s="29"/>
      <c r="P3" s="29" t="s">
        <v>1729</v>
      </c>
    </row>
    <row r="4">
      <c r="A4" s="28">
        <v>8684.0</v>
      </c>
      <c r="B4" s="29" t="s">
        <v>1730</v>
      </c>
      <c r="C4" s="29" t="s">
        <v>432</v>
      </c>
      <c r="D4" s="29" t="s">
        <v>1324</v>
      </c>
      <c r="E4" s="29" t="s">
        <v>1325</v>
      </c>
      <c r="F4" s="30"/>
      <c r="G4" s="29" t="s">
        <v>441</v>
      </c>
      <c r="H4" s="29" t="s">
        <v>634</v>
      </c>
      <c r="I4" s="29" t="s">
        <v>234</v>
      </c>
      <c r="J4" s="30"/>
      <c r="K4" s="29" t="s">
        <v>1731</v>
      </c>
      <c r="L4" s="29" t="s">
        <v>621</v>
      </c>
      <c r="M4" s="29" t="s">
        <v>1732</v>
      </c>
      <c r="N4" s="29"/>
      <c r="O4" s="29"/>
      <c r="P4" s="29" t="s">
        <v>1733</v>
      </c>
    </row>
    <row r="5">
      <c r="A5" s="28">
        <v>9342.0</v>
      </c>
      <c r="B5" s="29" t="s">
        <v>1734</v>
      </c>
      <c r="C5" s="29" t="s">
        <v>432</v>
      </c>
      <c r="D5" s="29" t="s">
        <v>1324</v>
      </c>
      <c r="E5" s="29" t="s">
        <v>1325</v>
      </c>
      <c r="F5" s="29" t="s">
        <v>450</v>
      </c>
      <c r="G5" s="29" t="s">
        <v>450</v>
      </c>
      <c r="H5" s="29" t="s">
        <v>1221</v>
      </c>
      <c r="I5" s="29" t="s">
        <v>234</v>
      </c>
      <c r="J5" s="29" t="s">
        <v>1735</v>
      </c>
      <c r="K5" s="29" t="s">
        <v>450</v>
      </c>
      <c r="L5" s="29" t="s">
        <v>1736</v>
      </c>
      <c r="M5" s="29" t="s">
        <v>1737</v>
      </c>
      <c r="N5" s="29"/>
      <c r="O5" s="29"/>
      <c r="P5" s="29" t="s">
        <v>1738</v>
      </c>
    </row>
    <row r="6">
      <c r="A6" s="28">
        <v>9384.0</v>
      </c>
      <c r="B6" s="29" t="s">
        <v>1739</v>
      </c>
      <c r="C6" s="29" t="s">
        <v>432</v>
      </c>
      <c r="D6" s="29" t="s">
        <v>1324</v>
      </c>
      <c r="E6" s="29" t="s">
        <v>1325</v>
      </c>
      <c r="F6" s="30"/>
      <c r="G6" s="29" t="s">
        <v>441</v>
      </c>
      <c r="H6" s="29" t="s">
        <v>1740</v>
      </c>
      <c r="I6" s="29" t="s">
        <v>1741</v>
      </c>
      <c r="J6" s="30"/>
      <c r="K6" s="30"/>
      <c r="L6" s="29" t="s">
        <v>511</v>
      </c>
      <c r="M6" s="29" t="s">
        <v>1742</v>
      </c>
      <c r="N6" s="29"/>
      <c r="O6" s="29"/>
      <c r="P6" s="29" t="s">
        <v>1743</v>
      </c>
    </row>
    <row r="7">
      <c r="A7" s="28">
        <v>9463.0</v>
      </c>
      <c r="B7" s="29" t="s">
        <v>1744</v>
      </c>
      <c r="C7" s="29" t="s">
        <v>432</v>
      </c>
      <c r="D7" s="29" t="s">
        <v>1324</v>
      </c>
      <c r="E7" s="29" t="s">
        <v>1325</v>
      </c>
      <c r="F7" s="30"/>
      <c r="G7" s="29" t="s">
        <v>441</v>
      </c>
      <c r="H7" s="29" t="s">
        <v>1745</v>
      </c>
      <c r="I7" s="29" t="s">
        <v>234</v>
      </c>
      <c r="J7" s="30"/>
      <c r="K7" s="29" t="s">
        <v>1746</v>
      </c>
      <c r="L7" s="29" t="s">
        <v>1747</v>
      </c>
      <c r="M7" s="29" t="s">
        <v>1748</v>
      </c>
      <c r="N7" s="29"/>
      <c r="O7" s="29"/>
      <c r="P7" s="29" t="s">
        <v>1749</v>
      </c>
    </row>
    <row r="8">
      <c r="A8" s="28">
        <v>9474.0</v>
      </c>
      <c r="B8" s="29" t="s">
        <v>1750</v>
      </c>
      <c r="C8" s="29" t="s">
        <v>432</v>
      </c>
      <c r="D8" s="29" t="s">
        <v>1324</v>
      </c>
      <c r="E8" s="29" t="s">
        <v>1325</v>
      </c>
      <c r="F8" s="30"/>
      <c r="G8" s="29" t="s">
        <v>441</v>
      </c>
      <c r="H8" s="29" t="s">
        <v>1751</v>
      </c>
      <c r="I8" s="29" t="s">
        <v>1752</v>
      </c>
      <c r="J8" s="30"/>
      <c r="K8" s="29" t="s">
        <v>1141</v>
      </c>
      <c r="L8" s="29" t="s">
        <v>1753</v>
      </c>
      <c r="M8" s="29" t="s">
        <v>1754</v>
      </c>
      <c r="N8" s="29"/>
      <c r="O8" s="29"/>
      <c r="P8" s="29" t="s">
        <v>1755</v>
      </c>
    </row>
    <row r="9">
      <c r="A9" s="28">
        <v>9632.0</v>
      </c>
      <c r="B9" s="29" t="s">
        <v>1756</v>
      </c>
      <c r="C9" s="29" t="s">
        <v>432</v>
      </c>
      <c r="D9" s="29" t="s">
        <v>1324</v>
      </c>
      <c r="E9" s="29" t="s">
        <v>1325</v>
      </c>
      <c r="F9" s="30"/>
      <c r="G9" s="29" t="s">
        <v>433</v>
      </c>
      <c r="H9" s="29" t="s">
        <v>1757</v>
      </c>
      <c r="I9" s="29" t="s">
        <v>234</v>
      </c>
      <c r="J9" s="30"/>
      <c r="K9" s="29" t="s">
        <v>1758</v>
      </c>
      <c r="L9" s="29" t="s">
        <v>1759</v>
      </c>
      <c r="M9" s="29" t="s">
        <v>1760</v>
      </c>
      <c r="N9" s="29"/>
      <c r="O9" s="29"/>
      <c r="P9" s="29" t="s">
        <v>1761</v>
      </c>
    </row>
    <row r="10">
      <c r="A10" s="28">
        <v>9738.0</v>
      </c>
      <c r="B10" s="29" t="s">
        <v>1762</v>
      </c>
      <c r="C10" s="29" t="s">
        <v>449</v>
      </c>
      <c r="D10" s="29" t="s">
        <v>1324</v>
      </c>
      <c r="E10" s="29" t="s">
        <v>1325</v>
      </c>
      <c r="F10" s="30"/>
      <c r="G10" s="29" t="s">
        <v>433</v>
      </c>
      <c r="H10" s="29" t="s">
        <v>634</v>
      </c>
      <c r="I10" s="29" t="s">
        <v>452</v>
      </c>
      <c r="J10" s="30"/>
      <c r="K10" s="29" t="s">
        <v>1763</v>
      </c>
      <c r="L10" s="29" t="s">
        <v>1764</v>
      </c>
      <c r="M10" s="29" t="s">
        <v>1765</v>
      </c>
      <c r="N10" s="29"/>
      <c r="O10" s="29"/>
      <c r="P10" s="29" t="s">
        <v>1766</v>
      </c>
    </row>
    <row r="11">
      <c r="A11" s="28">
        <v>10307.0</v>
      </c>
      <c r="B11" s="29" t="s">
        <v>1767</v>
      </c>
      <c r="C11" s="29" t="s">
        <v>432</v>
      </c>
      <c r="D11" s="29" t="s">
        <v>1324</v>
      </c>
      <c r="E11" s="29" t="s">
        <v>1325</v>
      </c>
      <c r="F11" s="30"/>
      <c r="G11" s="29" t="s">
        <v>433</v>
      </c>
      <c r="H11" s="29" t="s">
        <v>1768</v>
      </c>
      <c r="I11" s="29" t="s">
        <v>144</v>
      </c>
      <c r="J11" s="30"/>
      <c r="K11" s="30"/>
      <c r="L11" s="29" t="s">
        <v>1769</v>
      </c>
      <c r="M11" s="29" t="s">
        <v>1770</v>
      </c>
      <c r="N11" s="29"/>
      <c r="O11" s="29"/>
      <c r="P11" s="29" t="s">
        <v>1771</v>
      </c>
    </row>
    <row r="12">
      <c r="A12" s="28">
        <v>10388.0</v>
      </c>
      <c r="B12" s="29" t="s">
        <v>1772</v>
      </c>
      <c r="C12" s="29" t="s">
        <v>432</v>
      </c>
      <c r="D12" s="29" t="s">
        <v>1324</v>
      </c>
      <c r="E12" s="29" t="s">
        <v>1325</v>
      </c>
      <c r="F12" s="30"/>
      <c r="G12" s="29" t="s">
        <v>441</v>
      </c>
      <c r="H12" s="29" t="s">
        <v>1773</v>
      </c>
      <c r="I12" s="29" t="s">
        <v>1774</v>
      </c>
      <c r="J12" s="30"/>
      <c r="K12" s="29" t="s">
        <v>1775</v>
      </c>
      <c r="L12" s="29" t="s">
        <v>1776</v>
      </c>
      <c r="M12" s="29" t="s">
        <v>1777</v>
      </c>
      <c r="N12" s="29"/>
      <c r="O12" s="29"/>
      <c r="P12" s="29" t="s">
        <v>1778</v>
      </c>
    </row>
    <row r="13">
      <c r="A13" s="28">
        <v>10488.0</v>
      </c>
      <c r="B13" s="29" t="s">
        <v>1779</v>
      </c>
      <c r="C13" s="29" t="s">
        <v>432</v>
      </c>
      <c r="D13" s="29" t="s">
        <v>1324</v>
      </c>
      <c r="E13" s="29" t="s">
        <v>1325</v>
      </c>
      <c r="F13" s="30"/>
      <c r="G13" s="29" t="s">
        <v>441</v>
      </c>
      <c r="H13" s="29" t="s">
        <v>442</v>
      </c>
      <c r="I13" s="29" t="s">
        <v>435</v>
      </c>
      <c r="J13" s="30"/>
      <c r="K13" s="29" t="s">
        <v>1780</v>
      </c>
      <c r="L13" s="29" t="s">
        <v>1781</v>
      </c>
      <c r="M13" s="29" t="s">
        <v>1782</v>
      </c>
      <c r="N13" s="29"/>
      <c r="O13" s="29"/>
      <c r="P13" s="29" t="s">
        <v>1783</v>
      </c>
    </row>
    <row r="14">
      <c r="A14" s="28">
        <v>10499.0</v>
      </c>
      <c r="B14" s="29" t="s">
        <v>1423</v>
      </c>
      <c r="C14" s="29" t="s">
        <v>432</v>
      </c>
      <c r="D14" s="29" t="s">
        <v>1324</v>
      </c>
      <c r="E14" s="29" t="s">
        <v>1325</v>
      </c>
      <c r="F14" s="30"/>
      <c r="G14" s="29" t="s">
        <v>441</v>
      </c>
      <c r="H14" s="29" t="s">
        <v>1784</v>
      </c>
      <c r="I14" s="29" t="s">
        <v>234</v>
      </c>
      <c r="J14" s="30"/>
      <c r="K14" s="29" t="s">
        <v>1785</v>
      </c>
      <c r="L14" s="29" t="s">
        <v>1786</v>
      </c>
      <c r="M14" s="29" t="s">
        <v>576</v>
      </c>
      <c r="N14" s="29"/>
      <c r="O14" s="29"/>
      <c r="P14" s="29" t="s">
        <v>1787</v>
      </c>
    </row>
    <row r="15">
      <c r="A15" s="28">
        <v>10188.0</v>
      </c>
      <c r="B15" s="29" t="s">
        <v>1788</v>
      </c>
      <c r="C15" s="29" t="s">
        <v>432</v>
      </c>
      <c r="D15" s="29" t="s">
        <v>1435</v>
      </c>
      <c r="E15" s="29" t="s">
        <v>1436</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1436</v>
      </c>
      <c r="F16" s="30"/>
      <c r="G16" s="29" t="s">
        <v>441</v>
      </c>
      <c r="H16" s="29" t="s">
        <v>434</v>
      </c>
      <c r="I16" s="29" t="s">
        <v>1741</v>
      </c>
      <c r="J16" s="30"/>
      <c r="K16" s="30"/>
      <c r="L16" s="29" t="s">
        <v>511</v>
      </c>
      <c r="M16" s="29" t="s">
        <v>1793</v>
      </c>
      <c r="N16" s="29"/>
      <c r="O16" s="29"/>
      <c r="P16" s="29" t="s">
        <v>1794</v>
      </c>
    </row>
    <row r="17">
      <c r="A17" s="28">
        <v>10400.0</v>
      </c>
      <c r="B17" s="29" t="s">
        <v>1795</v>
      </c>
      <c r="C17" s="29" t="s">
        <v>449</v>
      </c>
      <c r="D17" s="29" t="s">
        <v>1435</v>
      </c>
      <c r="E17" s="29" t="s">
        <v>1436</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1436</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1468</v>
      </c>
      <c r="E19" s="29" t="s">
        <v>1469</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1468</v>
      </c>
      <c r="E20" s="29" t="s">
        <v>1469</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1468</v>
      </c>
      <c r="E21" s="29" t="s">
        <v>1469</v>
      </c>
      <c r="F21" s="30"/>
      <c r="G21" s="29" t="s">
        <v>441</v>
      </c>
      <c r="H21" s="29" t="s">
        <v>1816</v>
      </c>
      <c r="I21" s="29" t="s">
        <v>41</v>
      </c>
      <c r="J21" s="30"/>
      <c r="K21" s="29" t="s">
        <v>1817</v>
      </c>
      <c r="L21" s="29" t="s">
        <v>1136</v>
      </c>
      <c r="M21" s="29" t="s">
        <v>1818</v>
      </c>
      <c r="N21" s="29"/>
      <c r="O21" s="29"/>
      <c r="P21" s="29" t="s">
        <v>1819</v>
      </c>
    </row>
    <row r="22">
      <c r="A22" s="28">
        <v>8934.0</v>
      </c>
      <c r="B22" s="29" t="s">
        <v>1489</v>
      </c>
      <c r="C22" s="29" t="s">
        <v>449</v>
      </c>
      <c r="D22" s="29" t="s">
        <v>1468</v>
      </c>
      <c r="E22" s="29" t="s">
        <v>1469</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1468</v>
      </c>
      <c r="E23" s="29" t="s">
        <v>1469</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1468</v>
      </c>
      <c r="E24" s="29" t="s">
        <v>1469</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1468</v>
      </c>
      <c r="E25" s="29" t="s">
        <v>1469</v>
      </c>
      <c r="F25" s="30"/>
      <c r="G25" s="29" t="s">
        <v>441</v>
      </c>
      <c r="H25" s="29" t="s">
        <v>1725</v>
      </c>
      <c r="I25" s="29" t="s">
        <v>45</v>
      </c>
      <c r="J25" s="30"/>
      <c r="K25" s="29" t="s">
        <v>1833</v>
      </c>
      <c r="L25" s="29" t="s">
        <v>1834</v>
      </c>
      <c r="M25" s="29" t="s">
        <v>1835</v>
      </c>
      <c r="N25" s="29"/>
      <c r="O25" s="29"/>
      <c r="P25" s="29" t="s">
        <v>1836</v>
      </c>
    </row>
    <row r="26">
      <c r="A26" s="28">
        <v>10500.0</v>
      </c>
      <c r="B26" s="29" t="s">
        <v>1837</v>
      </c>
      <c r="C26" s="29" t="s">
        <v>432</v>
      </c>
      <c r="D26" s="29" t="s">
        <v>1468</v>
      </c>
      <c r="E26" s="29" t="s">
        <v>1469</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1539</v>
      </c>
      <c r="E27" s="29" t="s">
        <v>1540</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1547</v>
      </c>
      <c r="E28" s="29" t="s">
        <v>1548</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1547</v>
      </c>
      <c r="E29" s="29" t="s">
        <v>1548</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1547</v>
      </c>
      <c r="E30" s="29" t="s">
        <v>1548</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1547</v>
      </c>
      <c r="E31" s="29" t="s">
        <v>1548</v>
      </c>
      <c r="F31" s="30"/>
      <c r="G31" s="29" t="s">
        <v>433</v>
      </c>
      <c r="H31" s="29" t="s">
        <v>1826</v>
      </c>
      <c r="I31" s="29" t="s">
        <v>234</v>
      </c>
      <c r="J31" s="29" t="s">
        <v>1858</v>
      </c>
      <c r="K31" s="29" t="s">
        <v>1859</v>
      </c>
      <c r="L31" s="29" t="s">
        <v>1860</v>
      </c>
      <c r="M31" s="29" t="s">
        <v>570</v>
      </c>
      <c r="N31" s="29"/>
      <c r="O31" s="29"/>
      <c r="P31" s="29" t="s">
        <v>1861</v>
      </c>
    </row>
    <row r="32">
      <c r="A32" s="28">
        <v>10501.0</v>
      </c>
      <c r="B32" s="29" t="s">
        <v>1572</v>
      </c>
      <c r="C32" s="29" t="s">
        <v>432</v>
      </c>
      <c r="D32" s="29" t="s">
        <v>1547</v>
      </c>
      <c r="E32" s="29" t="s">
        <v>1548</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1587</v>
      </c>
      <c r="E33" s="29" t="s">
        <v>1588</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1595</v>
      </c>
      <c r="E34" s="29" t="s">
        <v>1596</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1595</v>
      </c>
      <c r="E35" s="29" t="s">
        <v>1596</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1609</v>
      </c>
      <c r="E36" s="29" t="s">
        <v>1610</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1609</v>
      </c>
      <c r="E37" s="29" t="s">
        <v>1610</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1609</v>
      </c>
      <c r="E38" s="29" t="s">
        <v>1610</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1609</v>
      </c>
      <c r="E39" s="29" t="s">
        <v>1610</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1635</v>
      </c>
      <c r="E40" s="29" t="s">
        <v>1636</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1635</v>
      </c>
      <c r="E41" s="29" t="s">
        <v>1636</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1650</v>
      </c>
      <c r="E42" s="29" t="s">
        <v>1651</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1650</v>
      </c>
      <c r="E43" s="29" t="s">
        <v>1651</v>
      </c>
      <c r="F43" s="30"/>
      <c r="G43" s="29" t="s">
        <v>441</v>
      </c>
      <c r="H43" s="29" t="s">
        <v>1907</v>
      </c>
      <c r="I43" s="29" t="s">
        <v>41</v>
      </c>
      <c r="J43" s="30"/>
      <c r="K43" s="29" t="s">
        <v>1908</v>
      </c>
      <c r="L43" s="29" t="s">
        <v>489</v>
      </c>
      <c r="M43" s="29" t="s">
        <v>1909</v>
      </c>
      <c r="N43" s="29"/>
      <c r="O43" s="29"/>
      <c r="P43" s="29" t="s">
        <v>1910</v>
      </c>
    </row>
    <row r="44">
      <c r="A44" s="28">
        <v>1322.0</v>
      </c>
      <c r="B44" s="29" t="s">
        <v>1665</v>
      </c>
      <c r="C44" s="29" t="s">
        <v>432</v>
      </c>
      <c r="D44" s="29" t="s">
        <v>1650</v>
      </c>
      <c r="E44" s="29" t="s">
        <v>1651</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1650</v>
      </c>
      <c r="E45" s="29" t="s">
        <v>1651</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1650</v>
      </c>
      <c r="E46" s="29" t="s">
        <v>1651</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1650</v>
      </c>
      <c r="E47" s="29" t="s">
        <v>1651</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1650</v>
      </c>
      <c r="E48" s="29" t="s">
        <v>1651</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1650</v>
      </c>
      <c r="E49" s="29" t="s">
        <v>1651</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1650</v>
      </c>
      <c r="E50" s="29" t="s">
        <v>1651</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1532</v>
      </c>
      <c r="G27" s="1" t="s">
        <v>234</v>
      </c>
      <c r="H27" s="1">
        <v>2021.0</v>
      </c>
      <c r="I27" s="1" t="s">
        <v>1989</v>
      </c>
      <c r="J27" s="1" t="s">
        <v>2019</v>
      </c>
      <c r="K27" s="4" t="s">
        <v>2020</v>
      </c>
      <c r="L27" s="1" t="s">
        <v>1945</v>
      </c>
      <c r="N27" s="1" t="s">
        <v>275</v>
      </c>
    </row>
    <row r="28">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c r="A33" s="1">
        <v>10309.0</v>
      </c>
      <c r="B33" s="1" t="s">
        <v>2036</v>
      </c>
      <c r="C33" s="1" t="str">
        <f>IFERROR(__xludf.DUMMYFUNCTION("GOOGLETRANSLATE(B33)"),"PRO-POOR AGENDA FOR PROSPERITY AND DEVELOPMENT")</f>
        <v>PRO-POOR AGENDA FOR PROSPERITY AND DEVELOPMENT</v>
      </c>
      <c r="D33" s="1" t="s">
        <v>2037</v>
      </c>
      <c r="E33" s="1" t="s">
        <v>2038</v>
      </c>
      <c r="F33" s="1" t="s">
        <v>1541</v>
      </c>
      <c r="G33" s="1"/>
      <c r="H33" s="1">
        <v>2018.0</v>
      </c>
      <c r="I33" s="1" t="s">
        <v>24</v>
      </c>
      <c r="J33" s="1" t="s">
        <v>2039</v>
      </c>
      <c r="K33" s="4" t="s">
        <v>2040</v>
      </c>
      <c r="L33" s="1" t="s">
        <v>1945</v>
      </c>
      <c r="N33" s="1" t="s">
        <v>23</v>
      </c>
    </row>
    <row r="34">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c r="A41" s="1">
        <v>10504.0</v>
      </c>
      <c r="B41" s="1" t="s">
        <v>2065</v>
      </c>
      <c r="C41" s="18" t="s">
        <v>2066</v>
      </c>
      <c r="D41" s="1" t="s">
        <v>2045</v>
      </c>
      <c r="E41" s="1" t="s">
        <v>2046</v>
      </c>
      <c r="F41" s="1" t="s">
        <v>234</v>
      </c>
      <c r="G41" s="3"/>
      <c r="H41" s="3"/>
      <c r="I41" s="1" t="s">
        <v>2047</v>
      </c>
      <c r="J41" s="1" t="s">
        <v>2067</v>
      </c>
      <c r="K41" s="4" t="s">
        <v>2068</v>
      </c>
      <c r="L41" s="1" t="s">
        <v>1945</v>
      </c>
      <c r="N41" s="1" t="s">
        <v>23</v>
      </c>
    </row>
    <row r="42">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1532</v>
      </c>
      <c r="G55" s="1" t="s">
        <v>234</v>
      </c>
      <c r="H55" s="1">
        <v>2020.0</v>
      </c>
      <c r="I55" s="1" t="s">
        <v>2112</v>
      </c>
      <c r="J55" s="1" t="s">
        <v>2113</v>
      </c>
      <c r="K55" s="4" t="s">
        <v>2114</v>
      </c>
      <c r="L55" s="1" t="s">
        <v>1945</v>
      </c>
      <c r="N55" s="1" t="s">
        <v>92</v>
      </c>
    </row>
    <row r="56">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1470</v>
      </c>
      <c r="J58" s="1" t="s">
        <v>2122</v>
      </c>
      <c r="K58" s="4" t="s">
        <v>2123</v>
      </c>
      <c r="L58" s="1" t="s">
        <v>1945</v>
      </c>
      <c r="N58" s="1" t="s">
        <v>23</v>
      </c>
    </row>
    <row r="59">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1470</v>
      </c>
      <c r="J66" s="1" t="s">
        <v>2148</v>
      </c>
      <c r="K66" s="4" t="s">
        <v>2149</v>
      </c>
      <c r="L66" s="1" t="s">
        <v>1945</v>
      </c>
      <c r="N66" s="1" t="s">
        <v>23</v>
      </c>
    </row>
    <row r="67">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295</v>
      </c>
      <c r="G79" s="1" t="s">
        <v>234</v>
      </c>
      <c r="H79" s="1">
        <v>2019.0</v>
      </c>
      <c r="I79" s="1" t="s">
        <v>24</v>
      </c>
      <c r="J79" s="1" t="s">
        <v>2193</v>
      </c>
      <c r="K79" s="4" t="s">
        <v>2194</v>
      </c>
      <c r="L79" s="1" t="s">
        <v>1945</v>
      </c>
      <c r="N79" s="1" t="s">
        <v>23</v>
      </c>
    </row>
    <row r="80">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295</v>
      </c>
      <c r="G82" s="1" t="s">
        <v>45</v>
      </c>
      <c r="H82" s="1">
        <v>2021.0</v>
      </c>
      <c r="I82" s="1" t="s">
        <v>24</v>
      </c>
      <c r="J82" s="1" t="s">
        <v>2202</v>
      </c>
      <c r="K82" s="4" t="s">
        <v>2203</v>
      </c>
      <c r="L82" s="1" t="s">
        <v>1945</v>
      </c>
      <c r="N82" s="1" t="s">
        <v>23</v>
      </c>
    </row>
    <row r="83">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1741</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1736</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1722</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